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221" yWindow="420" windowWidth="12120" windowHeight="7410" tabRatio="479" activeTab="0"/>
  </bookViews>
  <sheets>
    <sheet name="3.300 MW(ANEEL)" sheetId="1" r:id="rId1"/>
    <sheet name="3.300 MW (3)" sheetId="2" r:id="rId2"/>
    <sheet name="3.300 MW (2)" sheetId="3" r:id="rId3"/>
  </sheets>
  <definedNames>
    <definedName name="_xlnm._FilterDatabase" localSheetId="2" hidden="1">'3.300 MW (2)'!$A$13:$F$580</definedName>
    <definedName name="_xlnm._FilterDatabase" localSheetId="1" hidden="1">'3.300 MW (3)'!$A$12:$F$578</definedName>
    <definedName name="_xlnm._FilterDatabase" localSheetId="0" hidden="1">'3.300 MW(ANEEL)'!$A$12:$F$578</definedName>
    <definedName name="_xlnm.Print_Area" localSheetId="2">'3.300 MW (2)'!$A$1:$F$660</definedName>
    <definedName name="_xlnm.Print_Area" localSheetId="1">'3.300 MW (3)'!$A$1:$F$661</definedName>
    <definedName name="_xlnm.Print_Area" localSheetId="0">'3.300 MW(ANEEL)'!$A$1:$F$663</definedName>
    <definedName name="_xlnm.Print_Titles" localSheetId="2">'3.300 MW (2)'!$13:$15</definedName>
    <definedName name="_xlnm.Print_Titles" localSheetId="1">'3.300 MW (3)'!$12:$14</definedName>
    <definedName name="_xlnm.Print_Titles" localSheetId="0">'3.300 MW(ANEEL)'!$12:$14</definedName>
  </definedNames>
  <calcPr fullCalcOnLoad="1"/>
</workbook>
</file>

<file path=xl/sharedStrings.xml><?xml version="1.0" encoding="utf-8"?>
<sst xmlns="http://schemas.openxmlformats.org/spreadsheetml/2006/main" count="5581" uniqueCount="1033">
  <si>
    <t>ORÇAMENTO PADRÃO ELETROBRÁS</t>
  </si>
  <si>
    <t>PREÇO</t>
  </si>
  <si>
    <t>CUSTO</t>
  </si>
  <si>
    <t xml:space="preserve"> C O N T A</t>
  </si>
  <si>
    <t>ITEM</t>
  </si>
  <si>
    <t xml:space="preserve"> UN.</t>
  </si>
  <si>
    <t>QUANT.</t>
  </si>
  <si>
    <t>UNIT. R$</t>
  </si>
  <si>
    <t>x10³ R$</t>
  </si>
  <si>
    <t>.10</t>
  </si>
  <si>
    <t>TERRENOS, RELOCAÇÕES E OUTRAS AÇÕES SÓCIO-AMBIENTAIS</t>
  </si>
  <si>
    <t>gl</t>
  </si>
  <si>
    <t>.10.10</t>
  </si>
  <si>
    <t xml:space="preserve">   AQUISIÇÃO DE TERRENOS E BENFEITORIAS</t>
  </si>
  <si>
    <t>.10.10.10</t>
  </si>
  <si>
    <t xml:space="preserve">     PROPRIEDADES URBANAS</t>
  </si>
  <si>
    <t>.10.10.10.10</t>
  </si>
  <si>
    <t xml:space="preserve">       Reservatório</t>
  </si>
  <si>
    <t>.10.10.10.11</t>
  </si>
  <si>
    <t xml:space="preserve">       Canteiro, Acampamento, Jazidas e Áreas Afins</t>
  </si>
  <si>
    <t xml:space="preserve">       Unidades de Conservação e Áreas de Preservação Permanente</t>
  </si>
  <si>
    <t>.10.10.10.43</t>
  </si>
  <si>
    <t xml:space="preserve">       Cidades e Vilas</t>
  </si>
  <si>
    <t>.10.10.10.44</t>
  </si>
  <si>
    <t xml:space="preserve">       Infra-Estrutura Econômica e Social Isolada</t>
  </si>
  <si>
    <t>.10.10.10.17</t>
  </si>
  <si>
    <t xml:space="preserve">       Outros Custos</t>
  </si>
  <si>
    <t>.10.10.11</t>
  </si>
  <si>
    <t>.10.10.11.11</t>
  </si>
  <si>
    <t>.10.10.11.41</t>
  </si>
  <si>
    <t xml:space="preserve">       Reassentamento Rural</t>
  </si>
  <si>
    <t>.10.10.11.42</t>
  </si>
  <si>
    <t xml:space="preserve">       Comunidades Indígenas e / ou Outros Grupos Étnicos</t>
  </si>
  <si>
    <t>.10.10.11.43</t>
  </si>
  <si>
    <t>.10.10.11.44</t>
  </si>
  <si>
    <t>.10.10.11.17</t>
  </si>
  <si>
    <t>.10.10.12</t>
  </si>
  <si>
    <t xml:space="preserve">     DESPESAS LEGAIS E DE AQUISIÇÃO</t>
  </si>
  <si>
    <t>.10.10.13</t>
  </si>
  <si>
    <t xml:space="preserve">     OUTROS CUSTOS</t>
  </si>
  <si>
    <t>.10.11</t>
  </si>
  <si>
    <t xml:space="preserve">   RELOCAÇÕES</t>
  </si>
  <si>
    <t>km</t>
  </si>
  <si>
    <t>.10.11.15</t>
  </si>
  <si>
    <t xml:space="preserve">     ESTRADAS DE FERRO</t>
  </si>
  <si>
    <t xml:space="preserve">     PONTES</t>
  </si>
  <si>
    <t>m</t>
  </si>
  <si>
    <t>.10.11.19</t>
  </si>
  <si>
    <t>.10.11.20</t>
  </si>
  <si>
    <t xml:space="preserve">     RELOCAÇÕES DE POPULAÇÃO</t>
  </si>
  <si>
    <t>.10.11.20.41</t>
  </si>
  <si>
    <t>.10.11.20.42</t>
  </si>
  <si>
    <t xml:space="preserve">       Comunidades Indígenas e/ou Outros Grupos Étnicos</t>
  </si>
  <si>
    <t>.10.11.20.43</t>
  </si>
  <si>
    <t>.10.11.20.44</t>
  </si>
  <si>
    <t>.10.11.20.17</t>
  </si>
  <si>
    <t>.10.11.21</t>
  </si>
  <si>
    <t>.10.11.13</t>
  </si>
  <si>
    <t>.10.15</t>
  </si>
  <si>
    <t xml:space="preserve">   OUTRAS AÇÕES SÓCIO-AMBIENTAIS</t>
  </si>
  <si>
    <t>.10.15.44</t>
  </si>
  <si>
    <t xml:space="preserve">     COMUNICAÇÃO SÓCIO-AMBIENTAL</t>
  </si>
  <si>
    <t>.10.15.45</t>
  </si>
  <si>
    <t xml:space="preserve">     MEIO FÍSICO-BIÓTICO</t>
  </si>
  <si>
    <t>.10.15.45.18</t>
  </si>
  <si>
    <t xml:space="preserve">       Limpeza do Reservatório</t>
  </si>
  <si>
    <t>.10.15.45.45</t>
  </si>
  <si>
    <t>.10.15.45.46</t>
  </si>
  <si>
    <t xml:space="preserve">       Conservação da Fauna</t>
  </si>
  <si>
    <t>.10.15.45.47</t>
  </si>
  <si>
    <t>.10.15.45.48</t>
  </si>
  <si>
    <t>.10.15.45.17</t>
  </si>
  <si>
    <t>.10.15.46</t>
  </si>
  <si>
    <t xml:space="preserve">     MEIO SÓCIO-ECONÔMICO-CULTURAL</t>
  </si>
  <si>
    <t>.10.15.46.42</t>
  </si>
  <si>
    <t>.10.15.46.49</t>
  </si>
  <si>
    <t>.10.15.46.50</t>
  </si>
  <si>
    <t>.10.15.46.51</t>
  </si>
  <si>
    <t>.10.15.46.52</t>
  </si>
  <si>
    <t>.10.15.46.17</t>
  </si>
  <si>
    <t>.10.15.47</t>
  </si>
  <si>
    <t xml:space="preserve">     LICENCIAMENTO E GESTÃO INSTITUCIONAL</t>
  </si>
  <si>
    <t>.10.15.47.55</t>
  </si>
  <si>
    <t xml:space="preserve">       Gestão Institucional</t>
  </si>
  <si>
    <t>.10.15.47.17</t>
  </si>
  <si>
    <t>.10.15.13</t>
  </si>
  <si>
    <t>.10.27</t>
  </si>
  <si>
    <t>%</t>
  </si>
  <si>
    <t>.11</t>
  </si>
  <si>
    <t>ESTRUTURAS E OUTRAS BENFEITORIAS</t>
  </si>
  <si>
    <t>.11.12</t>
  </si>
  <si>
    <t xml:space="preserve">   BENFEITORIAS NA ÁREA DA USINA</t>
  </si>
  <si>
    <t>.11.13</t>
  </si>
  <si>
    <t>.11.13.00.12</t>
  </si>
  <si>
    <t xml:space="preserve">       Escavação</t>
  </si>
  <si>
    <t>.11.13.00.12.10</t>
  </si>
  <si>
    <t xml:space="preserve">         Escavação Comum</t>
  </si>
  <si>
    <t>m³</t>
  </si>
  <si>
    <t>.11.13.00.12.11</t>
  </si>
  <si>
    <t>.11.13.00.13</t>
  </si>
  <si>
    <t xml:space="preserve">       Limpeza e Tratamento de Fundação</t>
  </si>
  <si>
    <t xml:space="preserve">       Concreto</t>
  </si>
  <si>
    <t>t</t>
  </si>
  <si>
    <t xml:space="preserve">         Concreto sem Cimento</t>
  </si>
  <si>
    <t xml:space="preserve">         Armadura</t>
  </si>
  <si>
    <t>.11.14</t>
  </si>
  <si>
    <t xml:space="preserve">   VILA DOS OPERADORES</t>
  </si>
  <si>
    <t>.11.27</t>
  </si>
  <si>
    <t>.12</t>
  </si>
  <si>
    <t>.12.16</t>
  </si>
  <si>
    <t>.12.16.22</t>
  </si>
  <si>
    <t xml:space="preserve">       Equipamento de Fechamento</t>
  </si>
  <si>
    <t xml:space="preserve">           Custo FOB</t>
  </si>
  <si>
    <t>un</t>
  </si>
  <si>
    <t xml:space="preserve">           Transporte e Seguro</t>
  </si>
  <si>
    <t xml:space="preserve">           Montagem e Teste</t>
  </si>
  <si>
    <t>.12.17</t>
  </si>
  <si>
    <t>.12.17.25</t>
  </si>
  <si>
    <t>.12.17.25.12</t>
  </si>
  <si>
    <t>.12.17.25.12.10</t>
  </si>
  <si>
    <t>.12.17.25.12.11</t>
  </si>
  <si>
    <t>.12.17.25.13</t>
  </si>
  <si>
    <t>.12.17.25.24</t>
  </si>
  <si>
    <t>m²</t>
  </si>
  <si>
    <t xml:space="preserve">         Escavação em Rocha a Céu Aberto</t>
  </si>
  <si>
    <t>.12.18</t>
  </si>
  <si>
    <t>.12.18.28</t>
  </si>
  <si>
    <t>.12.18.28.12</t>
  </si>
  <si>
    <t>.12.18.28.12.10</t>
  </si>
  <si>
    <t>.12.18.28.12.11</t>
  </si>
  <si>
    <t>.12.18.28.13</t>
  </si>
  <si>
    <t>.12.19</t>
  </si>
  <si>
    <t xml:space="preserve">   TOMADA D'ÁGUA E ADUTORAS</t>
  </si>
  <si>
    <t>.12.19.30</t>
  </si>
  <si>
    <t>.12.19.30.12</t>
  </si>
  <si>
    <t>.12.19.30.12.10</t>
  </si>
  <si>
    <t>.12.19.30.12.11</t>
  </si>
  <si>
    <t>.12.19.30.13</t>
  </si>
  <si>
    <t>.12.19.30.23</t>
  </si>
  <si>
    <t>.12.19.30.23.16</t>
  </si>
  <si>
    <t>.12.19.30.23.16.10</t>
  </si>
  <si>
    <t>.12.19.30.23.16.11</t>
  </si>
  <si>
    <t>.12.19.30.23.16.12</t>
  </si>
  <si>
    <t>.12.19.30.23.20</t>
  </si>
  <si>
    <t>.12.19.30.23.20.10</t>
  </si>
  <si>
    <t>.12.19.30.23.20.11</t>
  </si>
  <si>
    <t>.12.19.30.23.20.12</t>
  </si>
  <si>
    <t>.12.19.30.23.21</t>
  </si>
  <si>
    <t>.12.19.30.23.21.10</t>
  </si>
  <si>
    <t>.12.19.30.23.21.11</t>
  </si>
  <si>
    <t>.12.19.30.23.21.12</t>
  </si>
  <si>
    <t>.12.19.35</t>
  </si>
  <si>
    <t xml:space="preserve">     CANAL DE FUGA</t>
  </si>
  <si>
    <t>.12.19.35.12</t>
  </si>
  <si>
    <t>.12.19.35.12.10</t>
  </si>
  <si>
    <t>.12.19.35.12.11</t>
  </si>
  <si>
    <t xml:space="preserve">     Subtotal Obras Civis</t>
  </si>
  <si>
    <t>R$</t>
  </si>
  <si>
    <t xml:space="preserve">     Subtotal Equipamentos</t>
  </si>
  <si>
    <t>.12.27.98</t>
  </si>
  <si>
    <t>.12.27.99</t>
  </si>
  <si>
    <t>.13</t>
  </si>
  <si>
    <t>TURBINAS E GERADORES</t>
  </si>
  <si>
    <t>.13.13.00.23.28</t>
  </si>
  <si>
    <t>.13.13.00.23.28.10</t>
  </si>
  <si>
    <t xml:space="preserve">           Custo FOB </t>
  </si>
  <si>
    <t>.13.13.00.23.28.11</t>
  </si>
  <si>
    <t>.13.13.00.23.28.12</t>
  </si>
  <si>
    <t>.13.13.00.23.28.13</t>
  </si>
  <si>
    <t xml:space="preserve">           Outros Custos</t>
  </si>
  <si>
    <t>.13.13.00.23.29</t>
  </si>
  <si>
    <t xml:space="preserve">         Geradores</t>
  </si>
  <si>
    <t>.13.13.00.23.29.10</t>
  </si>
  <si>
    <t>.13.13.00.23.29.11</t>
  </si>
  <si>
    <t>.13.13.00.23.29.12</t>
  </si>
  <si>
    <t>.13.13.00.23.29.13</t>
  </si>
  <si>
    <t>.13.27</t>
  </si>
  <si>
    <t>.14</t>
  </si>
  <si>
    <t>EQUIPAMENTO ELÉTRICO ACESSÓRIO</t>
  </si>
  <si>
    <t>.14.00.00.23.30.10</t>
  </si>
  <si>
    <t>.14.00.00.23.30.11</t>
  </si>
  <si>
    <t>.14.00.00.23.30.12</t>
  </si>
  <si>
    <t>.14.00.00.23.30.13</t>
  </si>
  <si>
    <t>.14.27</t>
  </si>
  <si>
    <t>.15</t>
  </si>
  <si>
    <t>DIVERSOS EQUIPAMENTOS DA USINA</t>
  </si>
  <si>
    <t>.15.13.00.23.20</t>
  </si>
  <si>
    <t>.15.13.00.23.20.10</t>
  </si>
  <si>
    <t>.15.13.00.23.20.11</t>
  </si>
  <si>
    <t>.15.13.00.23.20.12</t>
  </si>
  <si>
    <t>.15.13.00.23.20.13</t>
  </si>
  <si>
    <t>.15.13.00.23.31</t>
  </si>
  <si>
    <t>.15.13.00.23.31.10</t>
  </si>
  <si>
    <t>.15.13.00.23.31.11</t>
  </si>
  <si>
    <t>.15.13.00.23.31.12</t>
  </si>
  <si>
    <t>.15.13.00.23.31.13</t>
  </si>
  <si>
    <t>.15.27</t>
  </si>
  <si>
    <t>.16</t>
  </si>
  <si>
    <t>ESTRADAS DE RODAGEM, DE FERRO E PONTES</t>
  </si>
  <si>
    <t>.16.00.14</t>
  </si>
  <si>
    <t>.16.00.15</t>
  </si>
  <si>
    <t>.16.00.16</t>
  </si>
  <si>
    <t>.16.00.17</t>
  </si>
  <si>
    <t>.16.27</t>
  </si>
  <si>
    <t xml:space="preserve">   CUSTO DIRETO TOTAL</t>
  </si>
  <si>
    <t>.17</t>
  </si>
  <si>
    <t>CUSTOS INDIRETOS</t>
  </si>
  <si>
    <t>.17.21</t>
  </si>
  <si>
    <t xml:space="preserve">   CANTEIRO E ACAMPAMENTO</t>
  </si>
  <si>
    <t>.17.21.38</t>
  </si>
  <si>
    <t xml:space="preserve">     CONSTRUÇÕES DO CANTEIRO E ACAMPAMENTO</t>
  </si>
  <si>
    <t>.17.21.39</t>
  </si>
  <si>
    <t xml:space="preserve">     MANUTENÇÃO E OPERAÇÃO DO CANTEIRO E ACAMPAMENTO</t>
  </si>
  <si>
    <t>.17.22</t>
  </si>
  <si>
    <t xml:space="preserve">   ENGENHARIA E ADMINISTRAÇÃO DO PROPRIETÁRIO</t>
  </si>
  <si>
    <t>.17.22.40</t>
  </si>
  <si>
    <t>.17.22.40.36</t>
  </si>
  <si>
    <t>.17.22.40.37</t>
  </si>
  <si>
    <t xml:space="preserve">       Servicos Especiais de Engenharia</t>
  </si>
  <si>
    <t>.17.22.40.54</t>
  </si>
  <si>
    <t>.17.22.41</t>
  </si>
  <si>
    <t xml:space="preserve">     ADMINISTRAÇÃO DO PROPRIETÁRIO</t>
  </si>
  <si>
    <t>.17.27</t>
  </si>
  <si>
    <t xml:space="preserve">   EVENTUAIS DA CONTA .17</t>
  </si>
  <si>
    <t xml:space="preserve">   CUSTO TOTAL SEM JDC</t>
  </si>
  <si>
    <t>.18</t>
  </si>
  <si>
    <t>JUROS DURANTE A CONSTRUÇÃO</t>
  </si>
  <si>
    <t>POTÊNCIA INSTALADA (KW)</t>
  </si>
  <si>
    <t>CUSTO EM US$ / KW</t>
  </si>
  <si>
    <t>.12.19.30.14.14</t>
  </si>
  <si>
    <t>.12.19.30.14.15</t>
  </si>
  <si>
    <t>.12.19.30.14.13</t>
  </si>
  <si>
    <t>ha</t>
  </si>
  <si>
    <t>.12.19.30.14</t>
  </si>
  <si>
    <t>.12.19.31.12</t>
  </si>
  <si>
    <t>.12.19.31.12.10</t>
  </si>
  <si>
    <t>.12.19.31.13</t>
  </si>
  <si>
    <t>.12.19.31</t>
  </si>
  <si>
    <t>.12.19.31.12.11</t>
  </si>
  <si>
    <r>
      <t>m</t>
    </r>
    <r>
      <rPr>
        <vertAlign val="superscript"/>
        <sz val="8"/>
        <rFont val="Arial"/>
        <family val="2"/>
      </rPr>
      <t>2</t>
    </r>
  </si>
  <si>
    <t xml:space="preserve">         Escavação em Pedreira </t>
  </si>
  <si>
    <t>.12.17.25.16</t>
  </si>
  <si>
    <t>.12.17.25.17</t>
  </si>
  <si>
    <t>.12.17.27</t>
  </si>
  <si>
    <t>.12.17.27.12</t>
  </si>
  <si>
    <t xml:space="preserve">       Instrumentação de Controle</t>
  </si>
  <si>
    <t>.12.18.28.14</t>
  </si>
  <si>
    <t>.12.18.28.14.13</t>
  </si>
  <si>
    <t>.12.18.28.14.14</t>
  </si>
  <si>
    <t>.12.18.28.14.15</t>
  </si>
  <si>
    <t>.12.18.28.23</t>
  </si>
  <si>
    <t>.12.18.28.23.16</t>
  </si>
  <si>
    <t>.12.18.28.23.16.10</t>
  </si>
  <si>
    <t>.12.18.28.23.16.11</t>
  </si>
  <si>
    <t>.12.18.28.23.16.12</t>
  </si>
  <si>
    <t>.12.18.28.23.17</t>
  </si>
  <si>
    <t>.12.18.28.23.20</t>
  </si>
  <si>
    <t>.12.18.28.23.20.10</t>
  </si>
  <si>
    <t>.12.18.28.23.20.11</t>
  </si>
  <si>
    <t>.12.18.28.23.20.12</t>
  </si>
  <si>
    <t>.12.18.28.16</t>
  </si>
  <si>
    <t>.12.18.28.17</t>
  </si>
  <si>
    <t xml:space="preserve">     TOMADA D'ÁGUA</t>
  </si>
  <si>
    <t>.12.19.30.16</t>
  </si>
  <si>
    <t>.12.19.30.17</t>
  </si>
  <si>
    <t>.12.19.31.32</t>
  </si>
  <si>
    <t>.12.19.31.17</t>
  </si>
  <si>
    <t>.12.19.35.13</t>
  </si>
  <si>
    <t>.12.19.35.32</t>
  </si>
  <si>
    <t>.12.19.35.17</t>
  </si>
  <si>
    <t>.13.13.00.23.17</t>
  </si>
  <si>
    <t>.13.13.00.23.17.10</t>
  </si>
  <si>
    <t>.13.13.00.23.17.11</t>
  </si>
  <si>
    <t>.13.13.00.23.17.12</t>
  </si>
  <si>
    <t>.13.13.00.23.17.13</t>
  </si>
  <si>
    <t>.13.13.00.23.20</t>
  </si>
  <si>
    <t>.13.13.00.23.20.10</t>
  </si>
  <si>
    <t>.13.13.00.23.20.11</t>
  </si>
  <si>
    <t>.13.13.00.23.20.12</t>
  </si>
  <si>
    <t>.13.13.00.23.20.13</t>
  </si>
  <si>
    <t xml:space="preserve">                                                                                                                                            </t>
  </si>
  <si>
    <r>
      <t>CUSTO TOTAL (x10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R$)</t>
    </r>
  </si>
  <si>
    <r>
      <t>CUSTO TOTAL EQUIVALENTE (x10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US$)</t>
    </r>
  </si>
  <si>
    <t>CUSTO EM R$ / KW</t>
  </si>
  <si>
    <t xml:space="preserve">       Concreto Convencional</t>
  </si>
  <si>
    <t xml:space="preserve">     CANAL DE ADUÇÃO </t>
  </si>
  <si>
    <t>RESERVATÓRIO, BARRAGENS E ADUTORAS</t>
  </si>
  <si>
    <r>
      <t xml:space="preserve">TURBINA TIPO: </t>
    </r>
    <r>
      <rPr>
        <sz val="9"/>
        <rFont val="Arial"/>
        <family val="2"/>
      </rPr>
      <t>Bulbo</t>
    </r>
  </si>
  <si>
    <t>-</t>
  </si>
  <si>
    <t xml:space="preserve">       Aterro Compactado </t>
  </si>
  <si>
    <t xml:space="preserve">       Outros Custos </t>
  </si>
  <si>
    <t xml:space="preserve">       Escavação  (inclusive transporte)</t>
  </si>
  <si>
    <t>.12.16.22.01</t>
  </si>
  <si>
    <t>.12.16.22.02</t>
  </si>
  <si>
    <t>.12.16.22.02.01</t>
  </si>
  <si>
    <t xml:space="preserve">    Enrocamento lançado proveniente de estoque </t>
  </si>
  <si>
    <t xml:space="preserve"> DESVIO DO RIO</t>
  </si>
  <si>
    <t xml:space="preserve"> ENSECADEIRAS </t>
  </si>
  <si>
    <t xml:space="preserve">   Transição lançada </t>
  </si>
  <si>
    <t xml:space="preserve">  Remoção de Ensecadeiras</t>
  </si>
  <si>
    <t xml:space="preserve">   Remoção à seco de solo</t>
  </si>
  <si>
    <t xml:space="preserve">  Esgotamento e Outros Custos</t>
  </si>
  <si>
    <t>.12.18.30.</t>
  </si>
  <si>
    <t xml:space="preserve">     CANAL DE APROXIMAÇÃO</t>
  </si>
  <si>
    <t>.12.18.30.12</t>
  </si>
  <si>
    <t>.12.18.30.12.10</t>
  </si>
  <si>
    <t>.12.18.30.12.11</t>
  </si>
  <si>
    <t>.12.18.30.13</t>
  </si>
  <si>
    <t>.12.18.31.</t>
  </si>
  <si>
    <t xml:space="preserve">     CANAL DE DESCARGA</t>
  </si>
  <si>
    <t>.12.18.31.12</t>
  </si>
  <si>
    <t>.12.18.31.12.10</t>
  </si>
  <si>
    <t>.12.18.31.12.11</t>
  </si>
  <si>
    <t>.12.18.31.13</t>
  </si>
  <si>
    <t>.12.18.30.17</t>
  </si>
  <si>
    <t>.12.18.31.17</t>
  </si>
  <si>
    <t xml:space="preserve">   VERTEDOURO DE SUPERFÍCIE E CANAIS</t>
  </si>
  <si>
    <t xml:space="preserve">     VERTEDOURO DE SUPERFÍCIE</t>
  </si>
  <si>
    <r>
      <t xml:space="preserve"> ENSECADEIRAS de 2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Fase ( Leito do rio )</t>
    </r>
  </si>
  <si>
    <t xml:space="preserve">         Turbinas e Reguladores</t>
  </si>
  <si>
    <t xml:space="preserve">           Outros Custos </t>
  </si>
  <si>
    <t xml:space="preserve">           Outros Custos  </t>
  </si>
  <si>
    <t xml:space="preserve">         Equipamentos Diversos - (SE 750 kV em SF6)</t>
  </si>
  <si>
    <r>
      <t xml:space="preserve">USINA: </t>
    </r>
    <r>
      <rPr>
        <sz val="9"/>
        <rFont val="Arial"/>
        <family val="2"/>
      </rPr>
      <t>AHE JIRAU</t>
    </r>
  </si>
  <si>
    <r>
      <t xml:space="preserve">POTÊNCIA UNITÁRIA: </t>
    </r>
    <r>
      <rPr>
        <sz val="9"/>
        <rFont val="Arial"/>
        <family val="2"/>
      </rPr>
      <t>75 MW</t>
    </r>
  </si>
  <si>
    <t xml:space="preserve">   BARRAGENS E MUROS</t>
  </si>
  <si>
    <t xml:space="preserve">         Escavação em Rocha a Céu Aberto (incluindo pré-fissuramento)</t>
  </si>
  <si>
    <t>.10.10.10.40</t>
  </si>
  <si>
    <t xml:space="preserve">       Outros </t>
  </si>
  <si>
    <t xml:space="preserve">     PROPRIEDADES RURAIS ( Cerrado=Campos )</t>
  </si>
  <si>
    <t>.10.10.11.10a</t>
  </si>
  <si>
    <t>.10.10.11.10b</t>
  </si>
  <si>
    <t xml:space="preserve">      Construções</t>
  </si>
  <si>
    <t>.10.10.11.40a</t>
  </si>
  <si>
    <t xml:space="preserve">       Unidades de Conservação / Áreas de Preservação Permanente</t>
  </si>
  <si>
    <t>.10.10.11.40b</t>
  </si>
  <si>
    <t xml:space="preserve">       Construções</t>
  </si>
  <si>
    <t xml:space="preserve">       Outros ( faixa de domínio/faixa de servidão)</t>
  </si>
  <si>
    <t>.10.11.18a</t>
  </si>
  <si>
    <t>.10.11.18b</t>
  </si>
  <si>
    <t xml:space="preserve">     SISTEMA DE DISTRIBUIÇÃO</t>
  </si>
  <si>
    <t xml:space="preserve">       Reassentamento Rural ( 30 famílias )</t>
  </si>
  <si>
    <t xml:space="preserve">     OUTRAS RELOCAÇÕES </t>
  </si>
  <si>
    <t>.10.15.45.40.01</t>
  </si>
  <si>
    <t xml:space="preserve">       Unidades de Conservação ( Resolução 02/96 CONAMA)</t>
  </si>
  <si>
    <t>.10.15.45.40.02</t>
  </si>
  <si>
    <t xml:space="preserve">       Acompanhamento das Questões Indígenas</t>
  </si>
  <si>
    <t xml:space="preserve">       Implantação de Infraestrutura Habitacional e Educacional</t>
  </si>
  <si>
    <t xml:space="preserve">       Salvamento do Patrimônio Arqueológico Pré-Histór./Histór. Cultural</t>
  </si>
  <si>
    <t>.10.15.47.53.01</t>
  </si>
  <si>
    <t xml:space="preserve">        Licenciamento</t>
  </si>
  <si>
    <t>.10.15.47.53.02</t>
  </si>
  <si>
    <t xml:space="preserve">       Gerenciamento Ambientaldas Obras</t>
  </si>
  <si>
    <t>.10.11.14.01</t>
  </si>
  <si>
    <t xml:space="preserve">     ESTRADAS DE RODAGEM BR-364</t>
  </si>
  <si>
    <t>.10.11.14.02</t>
  </si>
  <si>
    <t xml:space="preserve">     ESTRADAS MUNICIPAIS E VICINAIS</t>
  </si>
  <si>
    <t>.10.11.16.01</t>
  </si>
  <si>
    <t>.10.11.16.02</t>
  </si>
  <si>
    <t xml:space="preserve">     BALSA (Rebocador, blasa e ancoradouros)</t>
  </si>
  <si>
    <t xml:space="preserve">     SISTEMA DE TRANSMISSÃO ( Porto Velho/Rio Branco )</t>
  </si>
  <si>
    <t xml:space="preserve">     SISTEMA DE COMUNICAÇÃO (Fibra Ótica)</t>
  </si>
  <si>
    <t>.12.16.22.02.01.01</t>
  </si>
  <si>
    <t>.12.16.22.02.01.02</t>
  </si>
  <si>
    <t>.12.16.22.02.01.03</t>
  </si>
  <si>
    <t xml:space="preserve">    Solo lançado proveniente de estoque</t>
  </si>
  <si>
    <t>.12.16.22.03.01</t>
  </si>
  <si>
    <t>.12.16.22.03.01.02</t>
  </si>
  <si>
    <t>.12.16.22.03.01.06</t>
  </si>
  <si>
    <t>.12.16.22.03.01.08</t>
  </si>
  <si>
    <t>.12.16.22.03.01.14</t>
  </si>
  <si>
    <t>.12.16.22.03.01.17</t>
  </si>
  <si>
    <t>.12.16.22.01.02</t>
  </si>
  <si>
    <t>.12.16.22.01.02.22</t>
  </si>
  <si>
    <t>.12.16.22.01.02.21</t>
  </si>
  <si>
    <t>.12.16.22.01.02.21.01</t>
  </si>
  <si>
    <t>.12.18.28.23.17.01</t>
  </si>
  <si>
    <t xml:space="preserve">             Comporta Ensecadeira de Montante</t>
  </si>
  <si>
    <t xml:space="preserve">                 Custo FOB</t>
  </si>
  <si>
    <t xml:space="preserve">                 Transporte e Seguro</t>
  </si>
  <si>
    <t xml:space="preserve">                 Montagem e Teste</t>
  </si>
  <si>
    <t>.12.18.28.23.17.01.10</t>
  </si>
  <si>
    <t>.12.18.28.23.17.01.11</t>
  </si>
  <si>
    <t>.12.18.28.23.17.01.12</t>
  </si>
  <si>
    <t>.12.18.28.23.17.02</t>
  </si>
  <si>
    <t>.12.18.28.23.17.02.10</t>
  </si>
  <si>
    <t>.12.18.28.23.17.02.11</t>
  </si>
  <si>
    <t>.12.18.28.23.17.02.12</t>
  </si>
  <si>
    <t>.15.13.00.23.21</t>
  </si>
  <si>
    <t>.15.13.00.23.21.10</t>
  </si>
  <si>
    <t>.15.13.00.23.21.11</t>
  </si>
  <si>
    <t>.15.13.00.23.21.12</t>
  </si>
  <si>
    <t>.15.13.00.23.21.13</t>
  </si>
  <si>
    <t>.12.16.22.03</t>
  </si>
  <si>
    <t>.12.16.22.03.01.14.01</t>
  </si>
  <si>
    <t>.12.16.22.03.01.14.02</t>
  </si>
  <si>
    <t>.12.16.22.03.02</t>
  </si>
  <si>
    <t>.12.16.22.03.02.02</t>
  </si>
  <si>
    <t>.12.16.22.03.02.06</t>
  </si>
  <si>
    <t>.12.16.22.03.02.08</t>
  </si>
  <si>
    <t>.12.16.22.03.02.14</t>
  </si>
  <si>
    <t>.12.16.22.03.02.14.01</t>
  </si>
  <si>
    <t>.12.16.22.03.02.14.02</t>
  </si>
  <si>
    <t>.12.16.22.03.02.17</t>
  </si>
  <si>
    <t>.12.16.22.02.02</t>
  </si>
  <si>
    <t>.12.16.22.02.02.01</t>
  </si>
  <si>
    <t>.12.16.22.02.02.02</t>
  </si>
  <si>
    <t>.12.16.22.02.02.03</t>
  </si>
  <si>
    <t>.11.13.00.14.01</t>
  </si>
  <si>
    <t>.11.13.00.14.01.13</t>
  </si>
  <si>
    <t>.11.13.00.14.01.14</t>
  </si>
  <si>
    <t>.11.13.00.14.01.15</t>
  </si>
  <si>
    <t>11.13.00.14</t>
  </si>
  <si>
    <t xml:space="preserve">          Concreto Convencional</t>
  </si>
  <si>
    <t xml:space="preserve">            Concreto sem Cimento</t>
  </si>
  <si>
    <t xml:space="preserve">            Armadura</t>
  </si>
  <si>
    <t xml:space="preserve">   CASA DE FORÇA (incluindo Área de Montagem e de Descarga)</t>
  </si>
  <si>
    <t xml:space="preserve">     BARRAGEM  e MUROS DE CONCRETO</t>
  </si>
  <si>
    <t xml:space="preserve">       Concreto Rolado (CCR)</t>
  </si>
  <si>
    <t>.12.18.28.23.17.01.13</t>
  </si>
  <si>
    <t xml:space="preserve">                 Peças Fixas</t>
  </si>
  <si>
    <t>.12.18.28.23.17.02.13</t>
  </si>
  <si>
    <t>.12.19.30.23.16.13</t>
  </si>
  <si>
    <t xml:space="preserve">          Peças Fixas</t>
  </si>
  <si>
    <t xml:space="preserve">           Peças Fixas</t>
  </si>
  <si>
    <t>.13.13.00.23.18</t>
  </si>
  <si>
    <t>.13.13.00.23.18.10</t>
  </si>
  <si>
    <t>.13.13.00.23.18.11</t>
  </si>
  <si>
    <t>.13.13.00.23.18.12</t>
  </si>
  <si>
    <t>.13.13.00.23.18.13</t>
  </si>
  <si>
    <t xml:space="preserve">         Ponte Rolante Principal (Casa de Força)</t>
  </si>
  <si>
    <t>.15.13.00.23.22</t>
  </si>
  <si>
    <t>.15.13.00.23.22.10</t>
  </si>
  <si>
    <t>.15.13.00.23.22.11</t>
  </si>
  <si>
    <t>.15.13.00.23.22.12</t>
  </si>
  <si>
    <t>.15.13.00.23.22.13</t>
  </si>
  <si>
    <t xml:space="preserve">     ENGENHARIA           (% do custo direto total)</t>
  </si>
  <si>
    <t xml:space="preserve">     EVENTUAIS DA CONTA .12 Obras Civis              </t>
  </si>
  <si>
    <t xml:space="preserve">     EVENTUAIS DA CONTA .12 Equipamentos          </t>
  </si>
  <si>
    <t xml:space="preserve">   EVENTUAIS DA CONTA .10               </t>
  </si>
  <si>
    <t xml:space="preserve">   EVENTUAIS DA CONTA .11                     </t>
  </si>
  <si>
    <t xml:space="preserve">   EVENTUAIS DA CONTA.15     </t>
  </si>
  <si>
    <t xml:space="preserve">   EVENTUAIS DA CONTA.14                     </t>
  </si>
  <si>
    <t xml:space="preserve"> </t>
  </si>
  <si>
    <t>.12.17.27.11</t>
  </si>
  <si>
    <t>.12.17.25.12.12</t>
  </si>
  <si>
    <t>.12.17.25.12.13</t>
  </si>
  <si>
    <t>.12.17.27.10.12</t>
  </si>
  <si>
    <t>.12.17.27.10</t>
  </si>
  <si>
    <t>.12.17.27.10.13</t>
  </si>
  <si>
    <t>.12.17.27.10.12.10</t>
  </si>
  <si>
    <t>.12.17.27.10.12.11</t>
  </si>
  <si>
    <t>.12.17.27.10.14</t>
  </si>
  <si>
    <t>.12.17.27.10.16</t>
  </si>
  <si>
    <t>.12.17.27.10.17</t>
  </si>
  <si>
    <t xml:space="preserve">    Muro Margem Esquerda</t>
  </si>
  <si>
    <t>.12.17.27.11.12</t>
  </si>
  <si>
    <t>.12.17.27.11.12.10</t>
  </si>
  <si>
    <t>.12.17.27.11.12.11</t>
  </si>
  <si>
    <t>.12.17.27.11.13</t>
  </si>
  <si>
    <t>.12.17.27.11.14</t>
  </si>
  <si>
    <t>.12.17.27.11.16</t>
  </si>
  <si>
    <t>.12.17.27.11.17</t>
  </si>
  <si>
    <t>.12.17.27.12.12</t>
  </si>
  <si>
    <t>.12.17.27.12.12.10</t>
  </si>
  <si>
    <t>.12.17.27.12.12.11</t>
  </si>
  <si>
    <t>.12.17.27.12.13</t>
  </si>
  <si>
    <t>.12.17.27.12.14</t>
  </si>
  <si>
    <t>.12.17.27.12.16</t>
  </si>
  <si>
    <t>.12.17.27.12.17</t>
  </si>
  <si>
    <t xml:space="preserve">      Concreto (Casa de Força)</t>
  </si>
  <si>
    <t>11.13.00.15</t>
  </si>
  <si>
    <t>.11.13.00.15.01</t>
  </si>
  <si>
    <t>.11.13.00.15.01.13</t>
  </si>
  <si>
    <t>.11.13.00.15.01.14</t>
  </si>
  <si>
    <t>.11.13.00.15.01.15</t>
  </si>
  <si>
    <t>.11.13.00.18</t>
  </si>
  <si>
    <t>.11.13.00.19</t>
  </si>
  <si>
    <t>11.13.00.16</t>
  </si>
  <si>
    <t>.11.13.00.16.01</t>
  </si>
  <si>
    <t>.11.13.00.16.01.13</t>
  </si>
  <si>
    <t>.11.13.00.16.01.14</t>
  </si>
  <si>
    <t>.11.13.00.16.01.15</t>
  </si>
  <si>
    <t xml:space="preserve">      Concreto (Área de Montagem 1 - blocos AM1 a AM4 - área externa)</t>
  </si>
  <si>
    <t xml:space="preserve">      Concreto (Área de Descarga - lateral à área de montagem 1)</t>
  </si>
  <si>
    <t>11.13.00.17</t>
  </si>
  <si>
    <t>.11.13.00.17.01</t>
  </si>
  <si>
    <t>.11.13.00.17.01.13</t>
  </si>
  <si>
    <t>.11.13.00.17.01.14</t>
  </si>
  <si>
    <t>.11.13.00.17.01.15</t>
  </si>
  <si>
    <t xml:space="preserve">       Escavação (Incluído nos canais)</t>
  </si>
  <si>
    <t xml:space="preserve">     BARRAGEM DE ENROCAMENTO</t>
  </si>
  <si>
    <r>
      <t xml:space="preserve"> ENSECADEIRAS de 1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Fase  (Margens)</t>
    </r>
  </si>
  <si>
    <t xml:space="preserve">Ensecadeira a Montante </t>
  </si>
  <si>
    <t>Pré Ensecadeira  Jusante</t>
  </si>
  <si>
    <t>Ensecadeira a Jusante</t>
  </si>
  <si>
    <t>.12.16.22.02.03</t>
  </si>
  <si>
    <t>.12.16.22.02.03.01</t>
  </si>
  <si>
    <t>.12.16.22.02.03.02</t>
  </si>
  <si>
    <t>.12.16.22.02.03.03</t>
  </si>
  <si>
    <t>.12.16.22.02.04</t>
  </si>
  <si>
    <t>.12.16.22.02.04.01</t>
  </si>
  <si>
    <t>.12.16.22.02.04.02</t>
  </si>
  <si>
    <t>.12.16.22.02.04.03</t>
  </si>
  <si>
    <t xml:space="preserve">         Limpeza de Fundação</t>
  </si>
  <si>
    <t xml:space="preserve">         Concreto Dental</t>
  </si>
  <si>
    <t xml:space="preserve">         Injeções de Consolidação</t>
  </si>
  <si>
    <t xml:space="preserve">         Tela </t>
  </si>
  <si>
    <t xml:space="preserve">         Chumbadores</t>
  </si>
  <si>
    <t xml:space="preserve">         Tirantes</t>
  </si>
  <si>
    <t xml:space="preserve">       Proteção de taludes </t>
  </si>
  <si>
    <t xml:space="preserve">         Enrocamento</t>
  </si>
  <si>
    <t xml:space="preserve">       Proteção de taludes</t>
  </si>
  <si>
    <t xml:space="preserve">       Proteção de Taludes </t>
  </si>
  <si>
    <t>.11.13.00.12.12</t>
  </si>
  <si>
    <t xml:space="preserve">         Escavação em Rocha a Céu Aberto (fogo cuidadoso)</t>
  </si>
  <si>
    <t xml:space="preserve">         Concreto de Regularização da Fundação</t>
  </si>
  <si>
    <t>.11.13.00.13.10</t>
  </si>
  <si>
    <t>.11.13.00.13.11</t>
  </si>
  <si>
    <t xml:space="preserve"> Ensecadeira de 1ª Fase da Margem Direita</t>
  </si>
  <si>
    <t>.12.16.22.01.03</t>
  </si>
  <si>
    <t>.12.16.22.01.02.10</t>
  </si>
  <si>
    <t>.12.16.22.01.02.10.1</t>
  </si>
  <si>
    <t>.12.16.22.01.02.10.2</t>
  </si>
  <si>
    <t>.12.16.22.01.02.10.3</t>
  </si>
  <si>
    <t>.12.16.22.01.02.11</t>
  </si>
  <si>
    <t>.12.16.22.01.02.11.1</t>
  </si>
  <si>
    <t>.12.16.22.01.02.11.2</t>
  </si>
  <si>
    <t>.12.16.22.01.02.11.3</t>
  </si>
  <si>
    <t>.12.16.22.01.02.22.01</t>
  </si>
  <si>
    <t>.12.16.22.01.02.23</t>
  </si>
  <si>
    <t xml:space="preserve"> Ensecadeira de 1ª Fase da Margem Esquerda</t>
  </si>
  <si>
    <t>.12.16.22.01.03.10</t>
  </si>
  <si>
    <t>.12.16.22.01.03.10.1</t>
  </si>
  <si>
    <t>.12.16.22.01.03.10.2</t>
  </si>
  <si>
    <t>.12.16.22.01.03.10.3</t>
  </si>
  <si>
    <t>.12.16.22.01.03.11</t>
  </si>
  <si>
    <t>.12.16.22.01.03.11.1</t>
  </si>
  <si>
    <t>.12.16.22.01.03.11.2</t>
  </si>
  <si>
    <t>.12.16.22.01.03.11.3</t>
  </si>
  <si>
    <t>.12.16.22.01.03.21</t>
  </si>
  <si>
    <t>.12.16.22.01.03.21.01</t>
  </si>
  <si>
    <t>.12.16.22.01.03.21.02</t>
  </si>
  <si>
    <t>.12.16.22.01.03.22</t>
  </si>
  <si>
    <t>.12.16.22.01.03.22.01</t>
  </si>
  <si>
    <t>.12.16.22.01.03.22.02</t>
  </si>
  <si>
    <t>.12.16.22.01.03.23</t>
  </si>
  <si>
    <t xml:space="preserve">     Transição compactada</t>
  </si>
  <si>
    <t xml:space="preserve">     Rip Rap</t>
  </si>
  <si>
    <t xml:space="preserve">     Solo compactado proveniente de área de empréstimo</t>
  </si>
  <si>
    <t xml:space="preserve">     Remoção a seco de solo</t>
  </si>
  <si>
    <t xml:space="preserve">     Remoção submersa c/retroesc. ou dragline - enroc./solo/transição</t>
  </si>
  <si>
    <t>.12.16.22.01.03.12</t>
  </si>
  <si>
    <t>.12.16.22.01.03.12.1</t>
  </si>
  <si>
    <t>.12.16.22.01.03.12.2</t>
  </si>
  <si>
    <t>.12.16.22.01.03.12.3</t>
  </si>
  <si>
    <t>.12.16.22.01.03.13</t>
  </si>
  <si>
    <t>.12.16.22.01.03.13.1</t>
  </si>
  <si>
    <t>.12.16.22.01.03.13.2</t>
  </si>
  <si>
    <t>.12.16.22.01.03.13.3</t>
  </si>
  <si>
    <t>.12.16.22.01.03.23.01</t>
  </si>
  <si>
    <t>.12.16.22.01.03.23.02</t>
  </si>
  <si>
    <t>.12.16.22.01.03.24</t>
  </si>
  <si>
    <t>.12.16.22.01.03.24.01</t>
  </si>
  <si>
    <t>.12.16.22.01.03.24.02</t>
  </si>
  <si>
    <t>.12.16.22.01.03.25</t>
  </si>
  <si>
    <t xml:space="preserve">  Ensecadeira para Escavação do Canal de Adução (1)</t>
  </si>
  <si>
    <t xml:space="preserve">  Ensecadeira para Escavação do Canal de Fuga (2)</t>
  </si>
  <si>
    <t xml:space="preserve">  Remoção de Ensecadeiras do Canal de Adução (1)</t>
  </si>
  <si>
    <t xml:space="preserve">  Remoção de Ensecadeiras do Canal de Fuga (2)</t>
  </si>
  <si>
    <t>.12.16.22.01.03.14</t>
  </si>
  <si>
    <t>.12.16.22.01.03.14.1</t>
  </si>
  <si>
    <t>.12.16.22.01.03.14.2</t>
  </si>
  <si>
    <t>.12.16.22.01.03.14.3</t>
  </si>
  <si>
    <t>.12.16.22.01.03.15</t>
  </si>
  <si>
    <t>.12.16.22.01.03.15.1</t>
  </si>
  <si>
    <t>.12.16.22.01.03.15.2</t>
  </si>
  <si>
    <t>.12.16.22.01.03.15.3</t>
  </si>
  <si>
    <t>.12.16.22.01.03.25.01</t>
  </si>
  <si>
    <t>.12.16.22.01.03.25.02</t>
  </si>
  <si>
    <t>.12.16.22.01.03.26</t>
  </si>
  <si>
    <t>.12.16.22.01.03.26.01</t>
  </si>
  <si>
    <t>.12.16.22.01.03.26.02</t>
  </si>
  <si>
    <t>.12.16.22.01.03.27</t>
  </si>
  <si>
    <t>.12.16.22.02.04.17</t>
  </si>
  <si>
    <t xml:space="preserve">    Remoção à seco de solo</t>
  </si>
  <si>
    <t xml:space="preserve">         Cortina de Drenagem</t>
  </si>
  <si>
    <t>.12.17.27.10.13.11</t>
  </si>
  <si>
    <t>.12.17.27.10.13.12</t>
  </si>
  <si>
    <t>.12.17.27.10.13.13</t>
  </si>
  <si>
    <t>.12.17.25.13.10</t>
  </si>
  <si>
    <t>.12.17.25.13.11</t>
  </si>
  <si>
    <t>.12.17.25.13.12</t>
  </si>
  <si>
    <t>.12.17.25.13.13</t>
  </si>
  <si>
    <t xml:space="preserve">         Remoção de Aluvião e Blocos Soltos de Rocha</t>
  </si>
  <si>
    <t>.12.17.27.11.13.10</t>
  </si>
  <si>
    <t>.12.17.27.11.13.11</t>
  </si>
  <si>
    <t>.12.17.27.11.13.12</t>
  </si>
  <si>
    <t xml:space="preserve">     Enrocamento Compactado</t>
  </si>
  <si>
    <t xml:space="preserve"> ENSECADEIRAS CASA DE FORÇA</t>
  </si>
  <si>
    <t xml:space="preserve">    Muro Margem Direita (entre as unidades 24 e 25 da Casa de Força)</t>
  </si>
  <si>
    <t xml:space="preserve">         Concreto de Regularização Da Fundação</t>
  </si>
  <si>
    <t xml:space="preserve">    Muro de Abraço da Barragem de Enrocamento</t>
  </si>
  <si>
    <t xml:space="preserve">         Escavação em Rocha com Fogo Cuidadoso</t>
  </si>
  <si>
    <t>.12.18.28.12.12</t>
  </si>
  <si>
    <t>.12.18.28.13.10</t>
  </si>
  <si>
    <t>.12.18.28.13.11</t>
  </si>
  <si>
    <t>.12.18.28.13.12</t>
  </si>
  <si>
    <t>.12.18.28.13.13</t>
  </si>
  <si>
    <t xml:space="preserve">         Escavação em Rocha Sub Aquática</t>
  </si>
  <si>
    <t>.12.18.31.12.12</t>
  </si>
  <si>
    <t>.12.18.30.12.12</t>
  </si>
  <si>
    <t>.12.18.30.13.10</t>
  </si>
  <si>
    <t>.12.18.30.13.11</t>
  </si>
  <si>
    <t>.12.18.30.13.12</t>
  </si>
  <si>
    <t>.12.18.30.13.13</t>
  </si>
  <si>
    <t>.12.18.30.13.14</t>
  </si>
  <si>
    <t>.12.18.31.13.10</t>
  </si>
  <si>
    <t>.12.19.30.12.12</t>
  </si>
  <si>
    <t>.12.17.27.10.13.14</t>
  </si>
  <si>
    <t>.12.17.27.10.15</t>
  </si>
  <si>
    <t>.12.17.27.10.14.10</t>
  </si>
  <si>
    <t>.12.17.27.10.14.11</t>
  </si>
  <si>
    <t>.12.17.27.10.14.12</t>
  </si>
  <si>
    <t xml:space="preserve">          Concreto sem Cimento</t>
  </si>
  <si>
    <t xml:space="preserve">          Armadura</t>
  </si>
  <si>
    <t>.12.17.27.12.14.10</t>
  </si>
  <si>
    <t>.12.17.27.12.14.11</t>
  </si>
  <si>
    <t>.12.17.27.12.14.12</t>
  </si>
  <si>
    <t>.12.17.27.11.14.10</t>
  </si>
  <si>
    <t>.12.17.27.11.14.11</t>
  </si>
  <si>
    <t>.12.17.27.11.14.12</t>
  </si>
  <si>
    <t>.12.19.31.32.10</t>
  </si>
  <si>
    <t>.12.19.31.32.11</t>
  </si>
  <si>
    <t>.12.19.31.32.12</t>
  </si>
  <si>
    <t>.12.19.31.32.13</t>
  </si>
  <si>
    <t>.12.19.31.32.14</t>
  </si>
  <si>
    <t>.12.19.35.32.10</t>
  </si>
  <si>
    <t>.12.19.35.32.11</t>
  </si>
  <si>
    <t>.12.19.35.32.12</t>
  </si>
  <si>
    <t>.12.19.35.32.13</t>
  </si>
  <si>
    <t>.12.19.35.32.14</t>
  </si>
  <si>
    <t>.12.19.30.13.10</t>
  </si>
  <si>
    <t>.12.19.30.13.11</t>
  </si>
  <si>
    <t>.12.19.30.13.12</t>
  </si>
  <si>
    <t xml:space="preserve">    Transição lançada </t>
  </si>
  <si>
    <t xml:space="preserve">         Ponte Rolante Auxiliar (Casa de Força)      </t>
  </si>
  <si>
    <t>RIO: Madeira</t>
  </si>
  <si>
    <t>BACIA: 1- Amazonas; Sub-bacia 15: Madeira</t>
  </si>
  <si>
    <t>ESTADO: Rondônia</t>
  </si>
  <si>
    <t>REGIÃO: Norte</t>
  </si>
  <si>
    <t>TAXA CÂMBIO: US$ (médio)</t>
  </si>
  <si>
    <r>
      <t xml:space="preserve">POTÊNCIA INSTALADA: </t>
    </r>
    <r>
      <rPr>
        <b/>
        <sz val="10"/>
        <rFont val="Arial"/>
        <family val="2"/>
      </rPr>
      <t>3.300 MW</t>
    </r>
    <r>
      <rPr>
        <sz val="9"/>
        <rFont val="Arial"/>
        <family val="2"/>
      </rPr>
      <t xml:space="preserve"> </t>
    </r>
  </si>
  <si>
    <t>QUEDA LÍQUIDA DE REFERÊNCIA: 16,60 m</t>
  </si>
  <si>
    <t>DATA DE REFERÊNCIA: ago/04</t>
  </si>
  <si>
    <t xml:space="preserve">      Concreto (Área de Mont. 2 - bl. AM5 e AM6 - entre blocos da C. F.)</t>
  </si>
  <si>
    <t xml:space="preserve">         Comportas ensecadeiras</t>
  </si>
  <si>
    <r>
      <t xml:space="preserve">   EVENTUAIS DA CONTA.13         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 xml:space="preserve">           </t>
    </r>
  </si>
  <si>
    <t xml:space="preserve">         Portico Rolante de Jusante   </t>
  </si>
  <si>
    <t xml:space="preserve">         Comporta de Emergência     </t>
  </si>
  <si>
    <t xml:space="preserve">         Ponte Rolante da Área de Descarga  </t>
  </si>
  <si>
    <t xml:space="preserve">   EVENTUAIS DA CONTA .16                  </t>
  </si>
  <si>
    <t xml:space="preserve">    Remoção subm. com retroescavadeira de enrocamento/solo/transição</t>
  </si>
  <si>
    <t xml:space="preserve">   Remoção subm. com retroescavadeira de enrocamento/solo/transição</t>
  </si>
  <si>
    <t xml:space="preserve">         Escavação em Rocha a Céu Aberto (pré-fissuramento)</t>
  </si>
  <si>
    <t>Equipamentos de Fechamento</t>
  </si>
  <si>
    <t xml:space="preserve">  Equipamentos da Eclusa</t>
  </si>
  <si>
    <t xml:space="preserve">     Grades</t>
  </si>
  <si>
    <t>un.</t>
  </si>
  <si>
    <t xml:space="preserve">    Mitra Montante</t>
  </si>
  <si>
    <t xml:space="preserve">    Mitra Jusante</t>
  </si>
  <si>
    <t xml:space="preserve">    Comporta Flutuante Ensecadeira</t>
  </si>
  <si>
    <t xml:space="preserve">    Limpa Grades</t>
  </si>
  <si>
    <t>Canal de Jusante</t>
  </si>
  <si>
    <t>Câmara da Eclusa</t>
  </si>
  <si>
    <t>ECLUSA E CANAIS DE NAVEGAÇÃO</t>
  </si>
  <si>
    <t xml:space="preserve">  Canal de Montante</t>
  </si>
  <si>
    <t>.1</t>
  </si>
  <si>
    <t>.1.1</t>
  </si>
  <si>
    <t>.1.1.10</t>
  </si>
  <si>
    <t>.1.1.10.1</t>
  </si>
  <si>
    <t>.1.1.10.2</t>
  </si>
  <si>
    <t>.1.2</t>
  </si>
  <si>
    <t>.1.2.10</t>
  </si>
  <si>
    <t>.1.2.10.1</t>
  </si>
  <si>
    <t>.1.2.10.2</t>
  </si>
  <si>
    <t>.1.3</t>
  </si>
  <si>
    <t>.1.3.10</t>
  </si>
  <si>
    <t>.1.3.10.1</t>
  </si>
  <si>
    <t>.1.3.10.2</t>
  </si>
  <si>
    <t>.1.3.10.3</t>
  </si>
  <si>
    <t>.1.3.11</t>
  </si>
  <si>
    <t>.1.3.12</t>
  </si>
  <si>
    <t>.1.3.13</t>
  </si>
  <si>
    <t>.1.3.14</t>
  </si>
  <si>
    <t>.1.3.13.1</t>
  </si>
  <si>
    <t>.1.3.13.2</t>
  </si>
  <si>
    <t>.1.3.13.3</t>
  </si>
  <si>
    <t>.1.4</t>
  </si>
  <si>
    <t>.1.5</t>
  </si>
  <si>
    <t>.1.4.10</t>
  </si>
  <si>
    <t>.1.4.10.1</t>
  </si>
  <si>
    <t>.1.4.10.2</t>
  </si>
  <si>
    <t>.1.4.10.3</t>
  </si>
  <si>
    <t>.1.4.10.4</t>
  </si>
  <si>
    <t>.1.4.10.5</t>
  </si>
  <si>
    <t>.1.4.10.6</t>
  </si>
  <si>
    <t>.1.4.10.7</t>
  </si>
  <si>
    <t>.1.4.10.8</t>
  </si>
  <si>
    <t>.1.4.10.9</t>
  </si>
  <si>
    <t>.1.4.10.10</t>
  </si>
  <si>
    <t>.1.1.11</t>
  </si>
  <si>
    <t>.1.1.11.1</t>
  </si>
  <si>
    <t>.1.1.11.2</t>
  </si>
  <si>
    <t>.1.1.11.3</t>
  </si>
  <si>
    <t>.1.1.11.4</t>
  </si>
  <si>
    <t>.1.1.11.5</t>
  </si>
  <si>
    <t>.1.2.11</t>
  </si>
  <si>
    <t>.1.2.11.1</t>
  </si>
  <si>
    <t>.1.2.11.2</t>
  </si>
  <si>
    <t>.1.2.11.3</t>
  </si>
  <si>
    <t>.1.2.11.4</t>
  </si>
  <si>
    <t>.1.2.11.5</t>
  </si>
  <si>
    <t>.1.3.11.1</t>
  </si>
  <si>
    <t>.1.3.11.2</t>
  </si>
  <si>
    <t>.1.3.11.3</t>
  </si>
  <si>
    <t>.1.3.11.4</t>
  </si>
  <si>
    <t>.1.3.11.5</t>
  </si>
  <si>
    <t>.12.18.30.12.13</t>
  </si>
  <si>
    <t>.12.18.30.12.14</t>
  </si>
  <si>
    <t xml:space="preserve">         Escavação Comum (faixa próxima ao vertedouro)</t>
  </si>
  <si>
    <t xml:space="preserve">         Escavação em Rocha a Céu Aberto (faixa próxima ao vertedouro)</t>
  </si>
  <si>
    <t>.12.18.31.12.13</t>
  </si>
  <si>
    <t>.12.18.31.12.14</t>
  </si>
  <si>
    <t xml:space="preserve">         Escavação Comum (faixa próxima a estrutura)</t>
  </si>
  <si>
    <t xml:space="preserve">         Escavação em Rocha a Céu Aberto (faixa próxima a estrutura)</t>
  </si>
  <si>
    <t>.12.19.31.12.12</t>
  </si>
  <si>
    <t>.12.19.31.12.13</t>
  </si>
  <si>
    <t>.10.15.44.10</t>
  </si>
  <si>
    <t>.10.15.44.11</t>
  </si>
  <si>
    <t>.10.15.44.12</t>
  </si>
  <si>
    <t>.10.15.44.13</t>
  </si>
  <si>
    <t>.10.15.44.14</t>
  </si>
  <si>
    <t xml:space="preserve">       Elaboração/Ações de Comunicação em Campo</t>
  </si>
  <si>
    <t xml:space="preserve">       Ações de Educação Ambiental</t>
  </si>
  <si>
    <t xml:space="preserve">       Promoções de Eventos (Workshops)</t>
  </si>
  <si>
    <t xml:space="preserve">       Audiência Pública</t>
  </si>
  <si>
    <t xml:space="preserve">       Veiculação de Notícias na Mídia</t>
  </si>
  <si>
    <t xml:space="preserve">       Plano Ambiental do Reservatório (inclui APP)</t>
  </si>
  <si>
    <t>relat.</t>
  </si>
  <si>
    <t xml:space="preserve">       Conservação da Flora-Resgate/Etnobotânica/banco de germoplasma</t>
  </si>
  <si>
    <t>ano</t>
  </si>
  <si>
    <t>.10.15.45.46.01</t>
  </si>
  <si>
    <t xml:space="preserve">            Resgate</t>
  </si>
  <si>
    <t xml:space="preserve">            Implantação do Centro de Pesquisas Ambientais</t>
  </si>
  <si>
    <t xml:space="preserve">            Monitoramento Mastofauna</t>
  </si>
  <si>
    <t>.10.15.45.46.02</t>
  </si>
  <si>
    <t>.10.15.45.46.03</t>
  </si>
  <si>
    <t>.10.15.45.46.04</t>
  </si>
  <si>
    <t>.10.15.45.46.05</t>
  </si>
  <si>
    <t>.10.15.45.46.06</t>
  </si>
  <si>
    <t xml:space="preserve">            Monitoramento Avifauna</t>
  </si>
  <si>
    <t>.10.15.45.46.05.01</t>
  </si>
  <si>
    <t>.10.15.45.46.05.02</t>
  </si>
  <si>
    <t>.10.15.45.46.05.03</t>
  </si>
  <si>
    <t xml:space="preserve">               Pequenos Mamíferos</t>
  </si>
  <si>
    <t xml:space="preserve">               Mamíferos de Médio e Grande Porte</t>
  </si>
  <si>
    <t xml:space="preserve">               Mamíferos Aquáticos e Semi Aquáticos</t>
  </si>
  <si>
    <t xml:space="preserve">            Monitoramento Entomofauna - Monit. das espécies de insetos</t>
  </si>
  <si>
    <t xml:space="preserve">            Mecanismo de transposição de Peixes</t>
  </si>
  <si>
    <t xml:space="preserve">            Monitoramento Ictiofauna, ativ. pesq. e mecanismo de transposição</t>
  </si>
  <si>
    <t xml:space="preserve">            Resgate da Ictiofauna</t>
  </si>
  <si>
    <t>.10.15.45.46.07</t>
  </si>
  <si>
    <t>.10.15.45.46.08</t>
  </si>
  <si>
    <t>.10.15.45.46.09</t>
  </si>
  <si>
    <t>resg.</t>
  </si>
  <si>
    <t xml:space="preserve">       Limnologia e Qualidade da Água</t>
  </si>
  <si>
    <t>camp.</t>
  </si>
  <si>
    <t xml:space="preserve">            Monit. Herpetofauma - Monit. das espécies de anfíbios e répteis</t>
  </si>
  <si>
    <t>.10.15.45.47.01</t>
  </si>
  <si>
    <t xml:space="preserve">            Monitoramento Hiodrobiogeoquímico</t>
  </si>
  <si>
    <t xml:space="preserve">       Recuperação de Áreas Degradadas do Canteiro e áreas das Obras</t>
  </si>
  <si>
    <t>.10.15.45.17.01</t>
  </si>
  <si>
    <t xml:space="preserve">            Monitoramento Climatológico</t>
  </si>
  <si>
    <t>.10.15.45.17.02</t>
  </si>
  <si>
    <t>.10.15.45.17.03</t>
  </si>
  <si>
    <t xml:space="preserve">            Monitoramento Sismológico</t>
  </si>
  <si>
    <t xml:space="preserve">            Monitoramento de Erosão de Margens do Reservatório</t>
  </si>
  <si>
    <t xml:space="preserve">            Monitoramento do Lençol Freático</t>
  </si>
  <si>
    <t xml:space="preserve">            Monitoramento dos Direitos Minirários</t>
  </si>
  <si>
    <t xml:space="preserve">            Monitoramento Hidrossedimentométrico e Hidrológico</t>
  </si>
  <si>
    <t xml:space="preserve">               Aquisição de 3 Estações</t>
  </si>
  <si>
    <t xml:space="preserve">               Aquisição e Montagem de 4 Estações</t>
  </si>
  <si>
    <t>.10.15.45.17.04</t>
  </si>
  <si>
    <t>.10.15.45.17.05</t>
  </si>
  <si>
    <t>.10.15.45.17.06</t>
  </si>
  <si>
    <t>.10.15.45.17.07</t>
  </si>
  <si>
    <t>.10.15.45.17.08</t>
  </si>
  <si>
    <t>.10.15.45.17.09</t>
  </si>
  <si>
    <t xml:space="preserve">       Monitor. Cond. de Saúde e Contr. Epidemiológico, Monit. de Vetores</t>
  </si>
  <si>
    <t>.10.15.46.49.01</t>
  </si>
  <si>
    <t xml:space="preserve">       Estudo e Salvamento Paleontológico</t>
  </si>
  <si>
    <t xml:space="preserve">       Apoio ao Município de Porto Velho</t>
  </si>
  <si>
    <t xml:space="preserve">             Jaciparaná</t>
  </si>
  <si>
    <t>fam.</t>
  </si>
  <si>
    <t xml:space="preserve">             Cidade de Porto Velho</t>
  </si>
  <si>
    <t>vb</t>
  </si>
  <si>
    <t>.10.15.46.53</t>
  </si>
  <si>
    <t>.10.15.46.52.10</t>
  </si>
  <si>
    <t>.10.15.46.52.11</t>
  </si>
  <si>
    <t>.10.15.46.52.12</t>
  </si>
  <si>
    <t>.10.15.46.53.10</t>
  </si>
  <si>
    <t xml:space="preserve">       Monitoramento Socioeconômico</t>
  </si>
  <si>
    <t xml:space="preserve">             Apoio aos Pescadores</t>
  </si>
  <si>
    <t>.10.15.46.53.11</t>
  </si>
  <si>
    <t xml:space="preserve">             Qualidade de Vida da População de Porto Velho e de Jaci-Paraná</t>
  </si>
  <si>
    <t>.10.15.46.54</t>
  </si>
  <si>
    <t xml:space="preserve">       Reorganização das Atividades Produtivas</t>
  </si>
  <si>
    <t xml:space="preserve">             Atividades Pesqueiras</t>
  </si>
  <si>
    <t xml:space="preserve">             Atividades Comerciais </t>
  </si>
  <si>
    <t xml:space="preserve">             Atividades Industriais</t>
  </si>
  <si>
    <t>pesc.</t>
  </si>
  <si>
    <t>.10.15.46.55</t>
  </si>
  <si>
    <t>.10.15.46.54.10</t>
  </si>
  <si>
    <t>.10.15.46.54.11</t>
  </si>
  <si>
    <t>.10.15.46.54.12</t>
  </si>
  <si>
    <t xml:space="preserve">       Compensação Social</t>
  </si>
  <si>
    <t xml:space="preserve">             Formento a Tecnologia de Exploração de Produtos Florestais</t>
  </si>
  <si>
    <t xml:space="preserve">             Apoio no Desenvolvimento de Atividades Turísticas   </t>
  </si>
  <si>
    <t xml:space="preserve">             Apoio às Atividades Sociais Voltadas para a Geração de Renda</t>
  </si>
  <si>
    <t xml:space="preserve">             Apoio na Área de Educação</t>
  </si>
  <si>
    <t xml:space="preserve">             Apoio na Área de Saúde</t>
  </si>
  <si>
    <t xml:space="preserve">             Apoio na Área de Saneamento Básico</t>
  </si>
  <si>
    <t xml:space="preserve">             Apoio no Desenvolvimento do Transporte Fluvial</t>
  </si>
  <si>
    <t xml:space="preserve">             Apoio a Ativid. de Assistência a Grupos Populacionais Vulneráveis</t>
  </si>
  <si>
    <t xml:space="preserve">             Apoio ao Desenvolvimento de Associativismo </t>
  </si>
  <si>
    <t xml:space="preserve">             Reestruturação do Museu da Ferrovia Madeira Mamoré</t>
  </si>
  <si>
    <t xml:space="preserve">       Outras Ações de Apoio </t>
  </si>
  <si>
    <t>.10.15.46.55.10</t>
  </si>
  <si>
    <t>.10.15.46.55.11</t>
  </si>
  <si>
    <t>.10.15.46.55.12</t>
  </si>
  <si>
    <t>.10.15.46.55.13</t>
  </si>
  <si>
    <t>.10.15.46.55.14</t>
  </si>
  <si>
    <t>.10.15.46.55.15</t>
  </si>
  <si>
    <t>.10.15.46.55.16</t>
  </si>
  <si>
    <t>.10.15.46.55.17</t>
  </si>
  <si>
    <t>.10.15.46.55.18</t>
  </si>
  <si>
    <t>.10.15.46.55.19</t>
  </si>
  <si>
    <t>.12.19.35.12.12</t>
  </si>
  <si>
    <t>.12.19.35.12.13</t>
  </si>
  <si>
    <t>.12.17.25.13.12.1</t>
  </si>
  <si>
    <t>.12.17.25.13.12.2</t>
  </si>
  <si>
    <t xml:space="preserve">            Concreto Dental sem Cimento</t>
  </si>
  <si>
    <t>.12.17.27.10.13.14.1</t>
  </si>
  <si>
    <t>.12.17.27.10.13.14.2</t>
  </si>
  <si>
    <t xml:space="preserve">            Concreto de Regularização sem Cimento</t>
  </si>
  <si>
    <t>.12.17.27.10.15.1</t>
  </si>
  <si>
    <t>.12.17.27.10.15.2</t>
  </si>
  <si>
    <t xml:space="preserve">          Concreto Rolado sem Cimento</t>
  </si>
  <si>
    <t>.12.17.27.12.15</t>
  </si>
  <si>
    <t>.12.17.27.12.15.1</t>
  </si>
  <si>
    <t>.12.17.27.12.15.2</t>
  </si>
  <si>
    <t>.12.18.28.13.13.1</t>
  </si>
  <si>
    <t>.12.18.28.13.13.2</t>
  </si>
  <si>
    <t xml:space="preserve">            Concreto de Regularização  sem Cimento</t>
  </si>
  <si>
    <r>
      <t xml:space="preserve">         Comportas Ensecadeira</t>
    </r>
    <r>
      <rPr>
        <sz val="8"/>
        <color indexed="12"/>
        <rFont val="Arial"/>
        <family val="2"/>
      </rPr>
      <t xml:space="preserve"> </t>
    </r>
  </si>
  <si>
    <t xml:space="preserve">             Comporta Ensecadeira de Jusante </t>
  </si>
  <si>
    <t>.12.18.28.23.17.03</t>
  </si>
  <si>
    <t xml:space="preserve">             Comporta Ensecadeira do Vertedouro (peças fixas para 21 vãos)</t>
  </si>
  <si>
    <t>.12.18.28.23.17.03.10</t>
  </si>
  <si>
    <t>.12.18.28.23.17.03.11</t>
  </si>
  <si>
    <t>.12.18.28.23.17.03.12</t>
  </si>
  <si>
    <t>.12.18.28.23.17.03.13</t>
  </si>
  <si>
    <t xml:space="preserve">         Guindaste (Portico Montante)</t>
  </si>
  <si>
    <t>.12.18.28.23.21</t>
  </si>
  <si>
    <t xml:space="preserve">         Miscelâneas Metálicas do Vertedouro</t>
  </si>
  <si>
    <t>.12.18.28.23.22</t>
  </si>
  <si>
    <t>.12.18.28.23.23</t>
  </si>
  <si>
    <t xml:space="preserve">         Pintura</t>
  </si>
  <si>
    <t xml:space="preserve">         Montagem Elétrica do Vertedouro</t>
  </si>
  <si>
    <t>.12.19.30.23.22</t>
  </si>
  <si>
    <t>.12.19.30.23.23</t>
  </si>
  <si>
    <t>.12.19.30.23.24</t>
  </si>
  <si>
    <t xml:space="preserve">         Miscelâneas Metálicas</t>
  </si>
  <si>
    <t>.15.13.00.23.32</t>
  </si>
  <si>
    <t>.15.13.00.23.33</t>
  </si>
  <si>
    <t>.1.4.10.11</t>
  </si>
  <si>
    <t xml:space="preserve">    Montagem e Teste</t>
  </si>
  <si>
    <t>.12.19.30.23.21.13</t>
  </si>
  <si>
    <t xml:space="preserve">           Peças Fixas das Grades</t>
  </si>
  <si>
    <t xml:space="preserve">         Comportas Ensecadeiras</t>
  </si>
  <si>
    <t xml:space="preserve">         Grades</t>
  </si>
  <si>
    <t xml:space="preserve">    Talhas e Monovias</t>
  </si>
  <si>
    <t>.1.4.10.12</t>
  </si>
  <si>
    <t xml:space="preserve">    Transporte e Seguro</t>
  </si>
  <si>
    <t xml:space="preserve">     Peças fixas Comportas Ensecadeiras</t>
  </si>
  <si>
    <t xml:space="preserve">     Comportas Ensecadeiras dos Aquedutos</t>
  </si>
  <si>
    <t xml:space="preserve">  Ensecadeira para Escavação da Área do Vertedouro (4)</t>
  </si>
  <si>
    <t xml:space="preserve">  Ensecadeira para Escavação do Canal de Aproximação (8)</t>
  </si>
  <si>
    <t xml:space="preserve">  Ensecadeira para Escavação do Canal de Aproximação (3)</t>
  </si>
  <si>
    <t xml:space="preserve">  Ensecadeira para Escavação do Canal de Restituição (5)</t>
  </si>
  <si>
    <t xml:space="preserve">  Ensecadeira a Montante do Vertedouro (6)</t>
  </si>
  <si>
    <t xml:space="preserve">  Ensecadeira a Jusante do Vertedouro (7)</t>
  </si>
  <si>
    <t xml:space="preserve">  Remoção de Ensecadeiras da Área do Vertedouro (4)</t>
  </si>
  <si>
    <t xml:space="preserve">  Remoção de Ensecadeiras do Canal de Aproximação (8)</t>
  </si>
  <si>
    <t xml:space="preserve">  Remoção de Ensecadeiras do Canal de Aproximação (3)</t>
  </si>
  <si>
    <t xml:space="preserve">  Remoção de Ensecadeiras do Canal de Restituição (5)</t>
  </si>
  <si>
    <t xml:space="preserve">  Remoção de Ensecadeiras a Montante do Vertedouro (6)</t>
  </si>
  <si>
    <t xml:space="preserve">  Remoção de Ensecadeiras a Jusante do Vertedouro (7)</t>
  </si>
  <si>
    <t>Montante das unidade 25 a 44 (9)</t>
  </si>
  <si>
    <t>Jusante das unidade 25 a 44 (10)</t>
  </si>
  <si>
    <t xml:space="preserve">  Remoção de Ensecadeiras (9 e 10)</t>
  </si>
  <si>
    <t xml:space="preserve">         Comportas de Segmento e Guinchos</t>
  </si>
  <si>
    <t xml:space="preserve">         Montagem Elétrica </t>
  </si>
  <si>
    <t xml:space="preserve">    Comporta Radial Enchimento</t>
  </si>
  <si>
    <t xml:space="preserve">    Comporta  Radial Esvaziamento</t>
  </si>
  <si>
    <t>.1.6</t>
  </si>
  <si>
    <t xml:space="preserve">     EVENTUAIS DA CONTA .1.4    (Equipamentos)</t>
  </si>
  <si>
    <t xml:space="preserve">     EVENTUAIS DA CONTA .1.1, 1.2, 1.3    (Obras Civis)</t>
  </si>
  <si>
    <t>ESTUDOS DE VIABILIDADE DO AHE JIRAU</t>
  </si>
  <si>
    <t>COMPLEXO DO RIO MADEIRA</t>
  </si>
  <si>
    <r>
      <t xml:space="preserve">       Instalações e Acabamentos </t>
    </r>
    <r>
      <rPr>
        <sz val="8"/>
        <color indexed="10"/>
        <rFont val="Arial"/>
        <family val="2"/>
      </rPr>
      <t>(4% dos itens 14, 15,16 e 17)</t>
    </r>
  </si>
  <si>
    <r>
      <t xml:space="preserve">  Esgotamento e Outros Custos </t>
    </r>
    <r>
      <rPr>
        <sz val="8"/>
        <color indexed="10"/>
        <rFont val="Arial"/>
        <family val="2"/>
      </rPr>
      <t>(manutenção de áreas ensecadas)</t>
    </r>
  </si>
  <si>
    <r>
      <t xml:space="preserve">        Instrumentação de Controle </t>
    </r>
    <r>
      <rPr>
        <sz val="8"/>
        <color indexed="10"/>
        <rFont val="Arial"/>
        <family val="2"/>
      </rPr>
      <t>(0,5% do item 24)</t>
    </r>
  </si>
  <si>
    <r>
      <t xml:space="preserve">       Outros Custos </t>
    </r>
    <r>
      <rPr>
        <sz val="8"/>
        <color indexed="10"/>
        <rFont val="Arial"/>
        <family val="2"/>
      </rPr>
      <t>(2% dos itens 12, 13, 24 e 16)</t>
    </r>
  </si>
  <si>
    <t xml:space="preserve">            Cimento+fly-Ash (Aglomerante)</t>
  </si>
  <si>
    <r>
      <t xml:space="preserve">       Instrumentação de Controle </t>
    </r>
    <r>
      <rPr>
        <sz val="8"/>
        <color indexed="10"/>
        <rFont val="Arial"/>
        <family val="2"/>
      </rPr>
      <t>(0,5% do item 14 e 15)</t>
    </r>
  </si>
  <si>
    <r>
      <t xml:space="preserve">       Outros Custos </t>
    </r>
    <r>
      <rPr>
        <sz val="8"/>
        <color indexed="10"/>
        <rFont val="Arial"/>
        <family val="2"/>
      </rPr>
      <t>(2% dos itens 13, 14, 15 e 16)</t>
    </r>
  </si>
  <si>
    <t xml:space="preserve">         Cimento+fly-Ash (Aglomerantes)</t>
  </si>
  <si>
    <t>.11.13.00.13.12</t>
  </si>
  <si>
    <t xml:space="preserve">            Cimento+fly-Ash (Aglomerantes)</t>
  </si>
  <si>
    <t xml:space="preserve">         Enrocamento (inclusive reescavação, estoque e transporte)</t>
  </si>
  <si>
    <t xml:space="preserve">         Filtro de Areia Compactada</t>
  </si>
  <si>
    <t xml:space="preserve">         Transição Compactada</t>
  </si>
  <si>
    <t>.12.17.25.24.1</t>
  </si>
  <si>
    <t>.12.17.25.24.2</t>
  </si>
  <si>
    <t>.12.17.25.24.3</t>
  </si>
  <si>
    <t>.12.17.25.24.4</t>
  </si>
  <si>
    <t xml:space="preserve">          Cimento+fly-Ash (Aglomerante)</t>
  </si>
  <si>
    <t>.12.17.27.11.15</t>
  </si>
  <si>
    <t>.12.17.27.11.15.1</t>
  </si>
  <si>
    <t>.12.17.27.11.15.2</t>
  </si>
  <si>
    <t xml:space="preserve">         Cimento+fly-Ash (Aglomerante)</t>
  </si>
  <si>
    <t>.12.18.30.13.15</t>
  </si>
  <si>
    <r>
      <t xml:space="preserve">    </t>
    </r>
    <r>
      <rPr>
        <sz val="8"/>
        <rFont val="Arial"/>
        <family val="2"/>
      </rPr>
      <t xml:space="preserve">     Cimento+fly-Ash (Aglomerante)</t>
    </r>
  </si>
  <si>
    <t>.12.19.31.32.15</t>
  </si>
  <si>
    <t>.12.19.35.32.15</t>
  </si>
  <si>
    <t>.1.1.11.6</t>
  </si>
  <si>
    <t>.1.2.11.6</t>
  </si>
  <si>
    <t>.1.3.11.6</t>
  </si>
  <si>
    <t>.12.18.31.13.11</t>
  </si>
  <si>
    <t>.12.18.31.13.12</t>
  </si>
  <si>
    <t>.12.18.31.13.13</t>
  </si>
  <si>
    <t>.12.18.31.13.14</t>
  </si>
  <si>
    <t>.12.18.31.13.15</t>
  </si>
  <si>
    <t xml:space="preserve">         Pórtico Rolante de Montante / Limpa Grades / Pesca Troncos</t>
  </si>
  <si>
    <t xml:space="preserve">         Cimento+fly-Ash (Aglomerante) (Concreto Projetado)</t>
  </si>
  <si>
    <t xml:space="preserve">         Concreto Projetado (e = 5 cm) (s/cimento)</t>
  </si>
  <si>
    <t xml:space="preserve">             Mutum-paraná</t>
  </si>
  <si>
    <t xml:space="preserve">  Pré Ensecadeira a Montante </t>
  </si>
  <si>
    <t>Preliminar em 12/11/2004</t>
  </si>
  <si>
    <t>.12.19.30.30</t>
  </si>
  <si>
    <t>Volumes totais finais</t>
  </si>
  <si>
    <t>Enrocamento</t>
  </si>
  <si>
    <t>Rocha</t>
  </si>
  <si>
    <t>Concreto</t>
  </si>
  <si>
    <t>com eclusa</t>
  </si>
  <si>
    <r>
      <t xml:space="preserve">  Esgotamento e Outros Custos </t>
    </r>
    <r>
      <rPr>
        <sz val="8"/>
        <color indexed="10"/>
        <rFont val="Arial"/>
        <family val="2"/>
      </rPr>
      <t>(Inundação do recinto e bombeamento)</t>
    </r>
  </si>
  <si>
    <r>
      <t xml:space="preserve">  Esgotamento e Outros Custos  </t>
    </r>
    <r>
      <rPr>
        <sz val="8"/>
        <color indexed="10"/>
        <rFont val="Arial"/>
        <family val="2"/>
      </rPr>
      <t>(Inundação do recinto e bombeamento)</t>
    </r>
  </si>
  <si>
    <r>
      <t xml:space="preserve">       Instrumentação de Controle</t>
    </r>
    <r>
      <rPr>
        <sz val="8"/>
        <color indexed="10"/>
        <rFont val="Arial"/>
        <family val="2"/>
      </rPr>
      <t xml:space="preserve"> (0,5% do item 14 e 15)</t>
    </r>
  </si>
  <si>
    <r>
      <t xml:space="preserve">       Outros Custos </t>
    </r>
    <r>
      <rPr>
        <sz val="8"/>
        <color indexed="10"/>
        <rFont val="Arial"/>
        <family val="2"/>
      </rPr>
      <t>(2% dos itens 13,14, 15 e 16)</t>
    </r>
  </si>
  <si>
    <t xml:space="preserve">         Concreto Projetado com Fibras (e = 5 cm) (s/cimento)</t>
  </si>
  <si>
    <t xml:space="preserve">         Concreto de Regularização da Fundação </t>
  </si>
  <si>
    <t xml:space="preserve">         Limpeza de Fundação (CF, AM1, AM2, E AD)</t>
  </si>
  <si>
    <t xml:space="preserve">         Injeções de Impermeabilização</t>
  </si>
  <si>
    <t xml:space="preserve">       Sistema Complementar Interceptor de Corpos Flutuantes</t>
  </si>
  <si>
    <r>
      <t xml:space="preserve">       Outros Custos </t>
    </r>
    <r>
      <rPr>
        <sz val="8"/>
        <color indexed="10"/>
        <rFont val="Arial"/>
        <family val="2"/>
      </rPr>
      <t>(1% dos itens 12 e 32)</t>
    </r>
  </si>
  <si>
    <t xml:space="preserve">     AEROPORTO   (Pequenas Aeronaves)</t>
  </si>
  <si>
    <t xml:space="preserve">     ESTRADAS DE RODAGEM   (Acesso a BR-364 / Canteiro)</t>
  </si>
  <si>
    <t xml:space="preserve">       Engenharia Básica e Assistência Técnica</t>
  </si>
  <si>
    <t xml:space="preserve">       Estudos e Projetos Ambientais  (Incluído na Conta 10)</t>
  </si>
  <si>
    <r>
      <t>m</t>
    </r>
    <r>
      <rPr>
        <vertAlign val="superscript"/>
        <sz val="8"/>
        <rFont val="Arial"/>
        <family val="2"/>
      </rPr>
      <t>3</t>
    </r>
  </si>
  <si>
    <t xml:space="preserve">       Tratamento de Fundação</t>
  </si>
  <si>
    <t>.1.3.12.10</t>
  </si>
  <si>
    <t>.1.3.12.11</t>
  </si>
  <si>
    <t>.1.3.12.12</t>
  </si>
  <si>
    <t xml:space="preserve">          Limpeza de Fundação</t>
  </si>
  <si>
    <t xml:space="preserve">          Cimento+fly-Ash (Aglomerante) (Regularização)</t>
  </si>
  <si>
    <t xml:space="preserve">          Concreto Regularização da Fundação</t>
  </si>
  <si>
    <t>.12.17.27.11.13.13</t>
  </si>
  <si>
    <t>.12.17.27.11.13.14</t>
  </si>
  <si>
    <t xml:space="preserve">         Cimento+fly-Ash (Aglomerante) Regularização</t>
  </si>
  <si>
    <r>
      <t>m</t>
    </r>
    <r>
      <rPr>
        <vertAlign val="superscript"/>
        <sz val="8"/>
        <rFont val="Arial"/>
        <family val="2"/>
      </rPr>
      <t>1</t>
    </r>
  </si>
  <si>
    <r>
      <t xml:space="preserve">  Esgotamento e Outros Custos  </t>
    </r>
    <r>
      <rPr>
        <sz val="8"/>
        <color indexed="10"/>
        <rFont val="Arial"/>
        <family val="2"/>
      </rPr>
      <t>(manutenção de áreas ensecadas)</t>
    </r>
  </si>
  <si>
    <t xml:space="preserve">    Solo compactado proveniente de área de empréstimo </t>
  </si>
  <si>
    <t xml:space="preserve">    Transição compactada</t>
  </si>
  <si>
    <t xml:space="preserve">    Rip Rap   </t>
  </si>
  <si>
    <t xml:space="preserve">    Transição compactada </t>
  </si>
  <si>
    <t xml:space="preserve">         Escavação em Jazida </t>
  </si>
  <si>
    <r>
      <t xml:space="preserve">         Escavação em Rocha a Céu Aberto</t>
    </r>
    <r>
      <rPr>
        <sz val="8"/>
        <color indexed="10"/>
        <rFont val="Arial"/>
        <family val="2"/>
      </rPr>
      <t xml:space="preserve"> (fundação da barragem)</t>
    </r>
  </si>
  <si>
    <t xml:space="preserve">         Núcleo de Argila </t>
  </si>
  <si>
    <t xml:space="preserve">     BARRAGEM DE ENROCAMENTO COM NÚCLEO ARGILOSO</t>
  </si>
  <si>
    <t xml:space="preserve">    Muro Lateral Direito do Vertedouro</t>
  </si>
  <si>
    <t xml:space="preserve">    Muro de Abraço da Barragem de Enroc. e Muro Lateral Esq. da Casa de Força</t>
  </si>
  <si>
    <t xml:space="preserve">    Muros Divisores da Casa de Força (entre as unidades 24 e 25)</t>
  </si>
  <si>
    <t xml:space="preserve">     VERTEDOURO DE SUPERFÍCIE, INCLUSIVE MURO LATERAL ESQUERDO</t>
  </si>
  <si>
    <t>Escavação Comum</t>
  </si>
  <si>
    <t>Escavação em Rocha a Céu Aberto</t>
  </si>
  <si>
    <t>Concreto Rolado (CCR)</t>
  </si>
  <si>
    <t>Concreto de Regularização da Fundação</t>
  </si>
  <si>
    <t>Rip Rap</t>
  </si>
  <si>
    <t>Concreto Convencional</t>
  </si>
  <si>
    <t>Escavação em Rocha Sub Aquática</t>
  </si>
  <si>
    <t>Concreto Projetado (e = 5 cm)</t>
  </si>
  <si>
    <t>Limpeza de Fundação</t>
  </si>
  <si>
    <t>Núcleo de Argila</t>
  </si>
  <si>
    <t>Armadura</t>
  </si>
  <si>
    <t>Cimento</t>
  </si>
  <si>
    <t>VOLUMES TOTAIS FINAIS</t>
  </si>
  <si>
    <t>Aterro Compactado</t>
  </si>
  <si>
    <t>Solo Lançado / Compactado</t>
  </si>
  <si>
    <t>Transição Lançada / Compactada</t>
  </si>
  <si>
    <t>Enrocamento Lançado / Compactado</t>
  </si>
  <si>
    <t xml:space="preserve">       Instalações e Acabamentos</t>
  </si>
  <si>
    <t xml:space="preserve">  Esgotamento e Outros Custos (manutenção de áreas ensecadas)</t>
  </si>
  <si>
    <t xml:space="preserve">  Esgotamento e Outros Custos  (manutenção de áreas ensecadas)</t>
  </si>
  <si>
    <t xml:space="preserve">  Esgotamento e Outros Custos  (Inundação do recinto e bombeamento)</t>
  </si>
  <si>
    <t xml:space="preserve">  Esgotamento e Outros Custos (Inundação do recinto e bombeamento)</t>
  </si>
  <si>
    <t xml:space="preserve">         Escavação em Rocha a Céu Aberto (fundação da barragem)</t>
  </si>
  <si>
    <t xml:space="preserve">        Instrumentação de Controle</t>
  </si>
  <si>
    <t xml:space="preserve">       Instrumentação de Controle </t>
  </si>
  <si>
    <r>
      <t xml:space="preserve">       Instrumentação de Controle</t>
    </r>
    <r>
      <rPr>
        <sz val="8"/>
        <color indexed="10"/>
        <rFont val="Arial"/>
        <family val="2"/>
      </rPr>
      <t xml:space="preserve"> </t>
    </r>
  </si>
  <si>
    <r>
      <t>m</t>
    </r>
    <r>
      <rPr>
        <vertAlign val="superscript"/>
        <sz val="8"/>
        <rFont val="Arial"/>
        <family val="2"/>
      </rPr>
      <t>³</t>
    </r>
  </si>
</sst>
</file>

<file path=xl/styles.xml><?xml version="1.0" encoding="utf-8"?>
<styleSheet xmlns="http://schemas.openxmlformats.org/spreadsheetml/2006/main">
  <numFmts count="4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General_)"/>
    <numFmt numFmtId="177" formatCode="#,##0.0"/>
    <numFmt numFmtId="178" formatCode="#,##0.000_);[Red]\(#,##0.000\)"/>
    <numFmt numFmtId="179" formatCode="0.000"/>
    <numFmt numFmtId="180" formatCode="#.##0.0"/>
    <numFmt numFmtId="181" formatCode="#.##0.00"/>
    <numFmt numFmtId="182" formatCode="#.##0."/>
    <numFmt numFmtId="183" formatCode="#.##0"/>
    <numFmt numFmtId="184" formatCode="#.##"/>
    <numFmt numFmtId="185" formatCode="#.#"/>
    <numFmt numFmtId="186" formatCode="#"/>
    <numFmt numFmtId="187" formatCode="#,##0.000"/>
    <numFmt numFmtId="188" formatCode="#.##0.000"/>
    <numFmt numFmtId="189" formatCode="#.##0.0000"/>
    <numFmt numFmtId="190" formatCode="#.0"/>
    <numFmt numFmtId="191" formatCode="#.00"/>
    <numFmt numFmtId="192" formatCode="#.000"/>
    <numFmt numFmtId="193" formatCode="#,##0.0_);[Red]\(#,##0.0\)"/>
    <numFmt numFmtId="194" formatCode="0.0"/>
    <numFmt numFmtId="195" formatCode="&quot;R$&quot;#,##0.00"/>
    <numFmt numFmtId="196" formatCode="0.0000"/>
    <numFmt numFmtId="197" formatCode="0.00000"/>
    <numFmt numFmtId="198" formatCode="0.000000"/>
    <numFmt numFmtId="199" formatCode="0.0000000"/>
    <numFmt numFmtId="200" formatCode="#,##0.0000"/>
    <numFmt numFmtId="201" formatCode="#,##0.00000"/>
    <numFmt numFmtId="202" formatCode="#,##0.000000"/>
    <numFmt numFmtId="203" formatCode="0.00_);[Red]\(0.00\)"/>
  </numFmts>
  <fonts count="1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Arial"/>
      <family val="2"/>
    </font>
    <font>
      <b/>
      <sz val="8"/>
      <name val="Arial"/>
      <family val="0"/>
    </font>
    <font>
      <sz val="10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9"/>
      <color indexed="48"/>
      <name val="Arial"/>
      <family val="2"/>
    </font>
    <font>
      <b/>
      <sz val="10"/>
      <color indexed="4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205">
    <xf numFmtId="176" fontId="0" fillId="0" borderId="0" xfId="0" applyAlignment="1">
      <alignment/>
    </xf>
    <xf numFmtId="176" fontId="5" fillId="0" borderId="0" xfId="0" applyFont="1" applyAlignment="1">
      <alignment/>
    </xf>
    <xf numFmtId="176" fontId="5" fillId="0" borderId="0" xfId="0" applyFont="1" applyAlignment="1">
      <alignment horizontal="center"/>
    </xf>
    <xf numFmtId="176" fontId="5" fillId="0" borderId="1" xfId="0" applyFont="1" applyFill="1" applyBorder="1" applyAlignment="1">
      <alignment horizontal="left"/>
    </xf>
    <xf numFmtId="176" fontId="5" fillId="0" borderId="2" xfId="0" applyFont="1" applyFill="1" applyBorder="1" applyAlignment="1">
      <alignment/>
    </xf>
    <xf numFmtId="176" fontId="5" fillId="0" borderId="2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/>
    </xf>
    <xf numFmtId="176" fontId="5" fillId="0" borderId="1" xfId="0" applyFont="1" applyFill="1" applyBorder="1" applyAlignment="1" applyProtection="1">
      <alignment horizontal="left"/>
      <protection locked="0"/>
    </xf>
    <xf numFmtId="176" fontId="5" fillId="0" borderId="2" xfId="0" applyFont="1" applyFill="1" applyBorder="1" applyAlignment="1" applyProtection="1">
      <alignment horizontal="left"/>
      <protection locked="0"/>
    </xf>
    <xf numFmtId="176" fontId="5" fillId="0" borderId="2" xfId="0" applyFont="1" applyFill="1" applyBorder="1" applyAlignment="1" applyProtection="1">
      <alignment horizontal="center"/>
      <protection locked="0"/>
    </xf>
    <xf numFmtId="176" fontId="7" fillId="0" borderId="0" xfId="0" applyFont="1" applyAlignment="1">
      <alignment/>
    </xf>
    <xf numFmtId="176" fontId="7" fillId="0" borderId="0" xfId="0" applyFont="1" applyAlignment="1">
      <alignment horizontal="centerContinuous"/>
    </xf>
    <xf numFmtId="4" fontId="5" fillId="0" borderId="0" xfId="0" applyNumberFormat="1" applyFont="1" applyFill="1" applyAlignment="1">
      <alignment/>
    </xf>
    <xf numFmtId="176" fontId="5" fillId="0" borderId="4" xfId="0" applyFont="1" applyFill="1" applyBorder="1" applyAlignment="1">
      <alignment horizontal="center"/>
    </xf>
    <xf numFmtId="38" fontId="5" fillId="0" borderId="4" xfId="18" applyNumberFormat="1" applyFont="1" applyFill="1" applyBorder="1" applyAlignment="1">
      <alignment horizontal="center"/>
    </xf>
    <xf numFmtId="176" fontId="5" fillId="0" borderId="0" xfId="0" applyFont="1" applyFill="1" applyAlignment="1">
      <alignment/>
    </xf>
    <xf numFmtId="176" fontId="5" fillId="0" borderId="0" xfId="0" applyFont="1" applyFill="1" applyAlignment="1">
      <alignment horizontal="center"/>
    </xf>
    <xf numFmtId="38" fontId="5" fillId="0" borderId="0" xfId="18" applyNumberFormat="1" applyFont="1" applyFill="1" applyAlignment="1">
      <alignment horizontal="center"/>
    </xf>
    <xf numFmtId="176" fontId="5" fillId="0" borderId="5" xfId="0" applyFont="1" applyFill="1" applyBorder="1" applyAlignment="1">
      <alignment horizontal="center"/>
    </xf>
    <xf numFmtId="176" fontId="5" fillId="0" borderId="6" xfId="0" applyFont="1" applyFill="1" applyBorder="1" applyAlignment="1">
      <alignment horizontal="center"/>
    </xf>
    <xf numFmtId="38" fontId="5" fillId="0" borderId="6" xfId="18" applyNumberFormat="1" applyFont="1" applyFill="1" applyBorder="1" applyAlignment="1">
      <alignment horizontal="center"/>
    </xf>
    <xf numFmtId="40" fontId="5" fillId="0" borderId="7" xfId="18" applyFont="1" applyFill="1" applyBorder="1" applyAlignment="1" applyProtection="1">
      <alignment horizontal="center"/>
      <protection locked="0"/>
    </xf>
    <xf numFmtId="4" fontId="5" fillId="0" borderId="8" xfId="0" applyNumberFormat="1" applyFont="1" applyFill="1" applyBorder="1" applyAlignment="1" applyProtection="1">
      <alignment horizontal="center"/>
      <protection locked="0"/>
    </xf>
    <xf numFmtId="176" fontId="5" fillId="0" borderId="9" xfId="0" applyFont="1" applyFill="1" applyBorder="1" applyAlignment="1">
      <alignment horizontal="center"/>
    </xf>
    <xf numFmtId="40" fontId="5" fillId="0" borderId="4" xfId="18" applyFont="1" applyFill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38" fontId="5" fillId="0" borderId="2" xfId="18" applyNumberFormat="1" applyFont="1" applyFill="1" applyBorder="1" applyAlignment="1" applyProtection="1">
      <alignment horizontal="center"/>
      <protection locked="0"/>
    </xf>
    <xf numFmtId="40" fontId="5" fillId="0" borderId="2" xfId="18" applyFont="1" applyFill="1" applyBorder="1" applyAlignment="1" applyProtection="1">
      <alignment/>
      <protection locked="0"/>
    </xf>
    <xf numFmtId="176" fontId="5" fillId="0" borderId="2" xfId="0" applyFont="1" applyFill="1" applyBorder="1" applyAlignment="1" applyProtection="1" quotePrefix="1">
      <alignment horizontal="left"/>
      <protection locked="0"/>
    </xf>
    <xf numFmtId="40" fontId="5" fillId="0" borderId="3" xfId="18" applyFont="1" applyFill="1" applyBorder="1" applyAlignment="1">
      <alignment/>
    </xf>
    <xf numFmtId="4" fontId="6" fillId="0" borderId="3" xfId="0" applyNumberFormat="1" applyFont="1" applyFill="1" applyBorder="1" applyAlignment="1">
      <alignment/>
    </xf>
    <xf numFmtId="176" fontId="5" fillId="0" borderId="11" xfId="0" applyFont="1" applyFill="1" applyBorder="1" applyAlignment="1">
      <alignment horizontal="left"/>
    </xf>
    <xf numFmtId="176" fontId="5" fillId="0" borderId="12" xfId="0" applyFont="1" applyFill="1" applyBorder="1" applyAlignment="1" applyProtection="1">
      <alignment horizontal="left"/>
      <protection locked="0"/>
    </xf>
    <xf numFmtId="176" fontId="5" fillId="0" borderId="12" xfId="0" applyFont="1" applyFill="1" applyBorder="1" applyAlignment="1">
      <alignment horizontal="center"/>
    </xf>
    <xf numFmtId="38" fontId="5" fillId="0" borderId="12" xfId="18" applyNumberFormat="1" applyFont="1" applyFill="1" applyBorder="1" applyAlignment="1">
      <alignment horizontal="center"/>
    </xf>
    <xf numFmtId="40" fontId="5" fillId="0" borderId="12" xfId="18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176" fontId="5" fillId="0" borderId="14" xfId="0" applyFont="1" applyFill="1" applyBorder="1" applyAlignment="1">
      <alignment horizontal="left"/>
    </xf>
    <xf numFmtId="176" fontId="5" fillId="0" borderId="15" xfId="0" applyFont="1" applyFill="1" applyBorder="1" applyAlignment="1" applyProtection="1">
      <alignment horizontal="left"/>
      <protection locked="0"/>
    </xf>
    <xf numFmtId="176" fontId="5" fillId="0" borderId="15" xfId="0" applyFont="1" applyFill="1" applyBorder="1" applyAlignment="1">
      <alignment horizontal="center"/>
    </xf>
    <xf numFmtId="38" fontId="5" fillId="0" borderId="15" xfId="18" applyNumberFormat="1" applyFont="1" applyFill="1" applyBorder="1" applyAlignment="1">
      <alignment horizontal="center"/>
    </xf>
    <xf numFmtId="40" fontId="5" fillId="0" borderId="15" xfId="18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176" fontId="5" fillId="0" borderId="14" xfId="0" applyFont="1" applyFill="1" applyBorder="1" applyAlignment="1" applyProtection="1">
      <alignment horizontal="left"/>
      <protection locked="0"/>
    </xf>
    <xf numFmtId="176" fontId="5" fillId="0" borderId="17" xfId="0" applyFont="1" applyFill="1" applyBorder="1" applyAlignment="1" applyProtection="1">
      <alignment horizontal="left"/>
      <protection locked="0"/>
    </xf>
    <xf numFmtId="176" fontId="5" fillId="0" borderId="18" xfId="0" applyFont="1" applyFill="1" applyBorder="1" applyAlignment="1">
      <alignment horizontal="center"/>
    </xf>
    <xf numFmtId="38" fontId="5" fillId="0" borderId="18" xfId="18" applyNumberFormat="1" applyFont="1" applyFill="1" applyBorder="1" applyAlignment="1">
      <alignment horizontal="center"/>
    </xf>
    <xf numFmtId="40" fontId="5" fillId="0" borderId="18" xfId="18" applyFont="1" applyFill="1" applyBorder="1" applyAlignment="1">
      <alignment/>
    </xf>
    <xf numFmtId="176" fontId="5" fillId="0" borderId="19" xfId="0" applyFont="1" applyFill="1" applyBorder="1" applyAlignment="1" applyProtection="1">
      <alignment horizontal="left"/>
      <protection locked="0"/>
    </xf>
    <xf numFmtId="176" fontId="5" fillId="0" borderId="20" xfId="0" applyFont="1" applyFill="1" applyBorder="1" applyAlignment="1">
      <alignment horizontal="center"/>
    </xf>
    <xf numFmtId="38" fontId="5" fillId="0" borderId="20" xfId="18" applyNumberFormat="1" applyFont="1" applyFill="1" applyBorder="1" applyAlignment="1">
      <alignment horizontal="center"/>
    </xf>
    <xf numFmtId="40" fontId="5" fillId="0" borderId="20" xfId="18" applyFont="1" applyFill="1" applyBorder="1" applyAlignment="1">
      <alignment/>
    </xf>
    <xf numFmtId="176" fontId="5" fillId="0" borderId="21" xfId="0" applyFont="1" applyFill="1" applyBorder="1" applyAlignment="1" applyProtection="1">
      <alignment horizontal="left"/>
      <protection locked="0"/>
    </xf>
    <xf numFmtId="4" fontId="5" fillId="0" borderId="22" xfId="0" applyNumberFormat="1" applyFont="1" applyFill="1" applyBorder="1" applyAlignment="1">
      <alignment/>
    </xf>
    <xf numFmtId="176" fontId="0" fillId="0" borderId="0" xfId="0" applyFont="1" applyFill="1" applyAlignment="1">
      <alignment/>
    </xf>
    <xf numFmtId="40" fontId="5" fillId="0" borderId="2" xfId="18" applyFont="1" applyFill="1" applyBorder="1" applyAlignment="1">
      <alignment/>
    </xf>
    <xf numFmtId="176" fontId="5" fillId="2" borderId="1" xfId="0" applyFont="1" applyFill="1" applyBorder="1" applyAlignment="1" applyProtection="1">
      <alignment horizontal="left"/>
      <protection locked="0"/>
    </xf>
    <xf numFmtId="176" fontId="5" fillId="2" borderId="2" xfId="0" applyFont="1" applyFill="1" applyBorder="1" applyAlignment="1" applyProtection="1">
      <alignment horizontal="justify" vertical="top"/>
      <protection locked="0"/>
    </xf>
    <xf numFmtId="176" fontId="5" fillId="2" borderId="2" xfId="0" applyFont="1" applyFill="1" applyBorder="1" applyAlignment="1" applyProtection="1">
      <alignment horizontal="left"/>
      <protection locked="0"/>
    </xf>
    <xf numFmtId="176" fontId="5" fillId="3" borderId="1" xfId="0" applyFont="1" applyFill="1" applyBorder="1" applyAlignment="1" applyProtection="1">
      <alignment horizontal="left"/>
      <protection locked="0"/>
    </xf>
    <xf numFmtId="176" fontId="5" fillId="3" borderId="2" xfId="0" applyFont="1" applyFill="1" applyBorder="1" applyAlignment="1" applyProtection="1">
      <alignment horizontal="left"/>
      <protection locked="0"/>
    </xf>
    <xf numFmtId="176" fontId="10" fillId="0" borderId="0" xfId="0" applyFont="1" applyFill="1" applyAlignment="1" quotePrefix="1">
      <alignment horizontal="left"/>
    </xf>
    <xf numFmtId="176" fontId="10" fillId="0" borderId="0" xfId="0" applyFont="1" applyFill="1" applyAlignment="1">
      <alignment/>
    </xf>
    <xf numFmtId="176" fontId="12" fillId="0" borderId="0" xfId="0" applyFont="1" applyFill="1" applyAlignment="1">
      <alignment/>
    </xf>
    <xf numFmtId="40" fontId="12" fillId="0" borderId="0" xfId="18" applyFont="1" applyFill="1" applyAlignment="1">
      <alignment/>
    </xf>
    <xf numFmtId="4" fontId="10" fillId="0" borderId="0" xfId="0" applyNumberFormat="1" applyFont="1" applyFill="1" applyAlignment="1">
      <alignment horizontal="centerContinuous"/>
    </xf>
    <xf numFmtId="176" fontId="10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/>
    </xf>
    <xf numFmtId="40" fontId="5" fillId="0" borderId="2" xfId="18" applyFont="1" applyFill="1" applyBorder="1" applyAlignment="1" quotePrefix="1">
      <alignment horizontal="center"/>
    </xf>
    <xf numFmtId="40" fontId="5" fillId="0" borderId="2" xfId="18" applyFont="1" applyFill="1" applyBorder="1" applyAlignment="1" applyProtection="1" quotePrefix="1">
      <alignment horizontal="center"/>
      <protection locked="0"/>
    </xf>
    <xf numFmtId="40" fontId="5" fillId="0" borderId="2" xfId="18" applyFont="1" applyFill="1" applyBorder="1" applyAlignment="1" applyProtection="1">
      <alignment horizontal="center"/>
      <protection locked="0"/>
    </xf>
    <xf numFmtId="203" fontId="5" fillId="0" borderId="0" xfId="18" applyNumberFormat="1" applyFont="1" applyFill="1" applyAlignment="1" quotePrefix="1">
      <alignment horizontal="center"/>
    </xf>
    <xf numFmtId="4" fontId="5" fillId="0" borderId="23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76" fontId="13" fillId="0" borderId="2" xfId="0" applyFont="1" applyFill="1" applyBorder="1" applyAlignment="1" applyProtection="1">
      <alignment horizontal="left"/>
      <protection locked="0"/>
    </xf>
    <xf numFmtId="193" fontId="5" fillId="0" borderId="2" xfId="18" applyNumberFormat="1" applyFont="1" applyFill="1" applyBorder="1" applyAlignment="1" applyProtection="1">
      <alignment horizontal="center"/>
      <protection locked="0"/>
    </xf>
    <xf numFmtId="176" fontId="5" fillId="0" borderId="0" xfId="0" applyFont="1" applyFill="1" applyBorder="1" applyAlignment="1" applyProtection="1">
      <alignment horizontal="left"/>
      <protection locked="0"/>
    </xf>
    <xf numFmtId="176" fontId="5" fillId="0" borderId="0" xfId="0" applyFont="1" applyFill="1" applyBorder="1" applyAlignment="1">
      <alignment horizontal="center"/>
    </xf>
    <xf numFmtId="38" fontId="5" fillId="0" borderId="0" xfId="18" applyNumberFormat="1" applyFont="1" applyFill="1" applyBorder="1" applyAlignment="1">
      <alignment horizontal="center"/>
    </xf>
    <xf numFmtId="40" fontId="5" fillId="0" borderId="0" xfId="18" applyFont="1" applyFill="1" applyBorder="1" applyAlignment="1">
      <alignment/>
    </xf>
    <xf numFmtId="176" fontId="5" fillId="0" borderId="25" xfId="0" applyFont="1" applyFill="1" applyBorder="1" applyAlignment="1" applyProtection="1">
      <alignment horizontal="left"/>
      <protection locked="0"/>
    </xf>
    <xf numFmtId="176" fontId="5" fillId="0" borderId="26" xfId="0" applyFont="1" applyFill="1" applyBorder="1" applyAlignment="1" applyProtection="1">
      <alignment horizontal="left"/>
      <protection locked="0"/>
    </xf>
    <xf numFmtId="176" fontId="5" fillId="0" borderId="26" xfId="0" applyFont="1" applyFill="1" applyBorder="1" applyAlignment="1">
      <alignment horizontal="center"/>
    </xf>
    <xf numFmtId="38" fontId="5" fillId="0" borderId="26" xfId="18" applyNumberFormat="1" applyFont="1" applyFill="1" applyBorder="1" applyAlignment="1" applyProtection="1">
      <alignment horizontal="center"/>
      <protection locked="0"/>
    </xf>
    <xf numFmtId="40" fontId="5" fillId="0" borderId="26" xfId="18" applyFont="1" applyFill="1" applyBorder="1" applyAlignment="1" applyProtection="1">
      <alignment/>
      <protection locked="0"/>
    </xf>
    <xf numFmtId="4" fontId="5" fillId="0" borderId="27" xfId="0" applyNumberFormat="1" applyFont="1" applyFill="1" applyBorder="1" applyAlignment="1">
      <alignment/>
    </xf>
    <xf numFmtId="176" fontId="16" fillId="0" borderId="0" xfId="0" applyFont="1" applyFill="1" applyAlignment="1" quotePrefix="1">
      <alignment horizontal="left"/>
    </xf>
    <xf numFmtId="176" fontId="17" fillId="0" borderId="0" xfId="0" applyFont="1" applyFill="1" applyAlignment="1" quotePrefix="1">
      <alignment horizontal="left"/>
    </xf>
    <xf numFmtId="40" fontId="5" fillId="0" borderId="15" xfId="18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/>
    </xf>
    <xf numFmtId="38" fontId="5" fillId="0" borderId="2" xfId="18" applyNumberFormat="1" applyFont="1" applyFill="1" applyBorder="1" applyAlignment="1" applyProtection="1" quotePrefix="1">
      <alignment horizontal="center"/>
      <protection locked="0"/>
    </xf>
    <xf numFmtId="173" fontId="5" fillId="0" borderId="0" xfId="15" applyFont="1" applyFill="1" applyAlignment="1">
      <alignment/>
    </xf>
    <xf numFmtId="176" fontId="0" fillId="0" borderId="0" xfId="0" applyFill="1" applyAlignment="1">
      <alignment/>
    </xf>
    <xf numFmtId="176" fontId="5" fillId="0" borderId="0" xfId="0" applyFont="1" applyFill="1" applyBorder="1" applyAlignment="1">
      <alignment/>
    </xf>
    <xf numFmtId="176" fontId="5" fillId="0" borderId="24" xfId="0" applyFont="1" applyFill="1" applyBorder="1" applyAlignment="1" applyProtection="1">
      <alignment horizontal="center"/>
      <protection locked="0"/>
    </xf>
    <xf numFmtId="40" fontId="5" fillId="0" borderId="24" xfId="18" applyFont="1" applyFill="1" applyBorder="1" applyAlignment="1" applyProtection="1">
      <alignment/>
      <protection locked="0"/>
    </xf>
    <xf numFmtId="4" fontId="5" fillId="0" borderId="28" xfId="0" applyNumberFormat="1" applyFont="1" applyFill="1" applyBorder="1" applyAlignment="1">
      <alignment/>
    </xf>
    <xf numFmtId="176" fontId="5" fillId="3" borderId="0" xfId="0" applyFont="1" applyFill="1" applyAlignment="1">
      <alignment/>
    </xf>
    <xf numFmtId="4" fontId="5" fillId="0" borderId="2" xfId="18" applyNumberFormat="1" applyFont="1" applyFill="1" applyBorder="1" applyAlignment="1" applyProtection="1">
      <alignment/>
      <protection locked="0"/>
    </xf>
    <xf numFmtId="38" fontId="11" fillId="0" borderId="0" xfId="18" applyNumberFormat="1" applyFont="1" applyFill="1" applyAlignment="1">
      <alignment horizontal="left"/>
    </xf>
    <xf numFmtId="38" fontId="11" fillId="0" borderId="0" xfId="18" applyNumberFormat="1" applyFont="1" applyFill="1" applyAlignment="1" quotePrefix="1">
      <alignment horizontal="left"/>
    </xf>
    <xf numFmtId="176" fontId="5" fillId="0" borderId="29" xfId="0" applyFont="1" applyFill="1" applyBorder="1" applyAlignment="1" applyProtection="1">
      <alignment horizontal="left"/>
      <protection locked="0"/>
    </xf>
    <xf numFmtId="40" fontId="5" fillId="0" borderId="3" xfId="18" applyFont="1" applyFill="1" applyBorder="1" applyAlignment="1" applyProtection="1" quotePrefix="1">
      <alignment horizontal="right"/>
      <protection locked="0"/>
    </xf>
    <xf numFmtId="176" fontId="5" fillId="3" borderId="30" xfId="0" applyFont="1" applyFill="1" applyBorder="1" applyAlignment="1" applyProtection="1">
      <alignment horizontal="left"/>
      <protection locked="0"/>
    </xf>
    <xf numFmtId="49" fontId="5" fillId="0" borderId="31" xfId="0" applyNumberFormat="1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176" fontId="5" fillId="4" borderId="0" xfId="0" applyFont="1" applyFill="1" applyAlignment="1">
      <alignment/>
    </xf>
    <xf numFmtId="3" fontId="5" fillId="0" borderId="2" xfId="18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>
      <alignment/>
    </xf>
    <xf numFmtId="176" fontId="13" fillId="3" borderId="2" xfId="0" applyFont="1" applyFill="1" applyBorder="1" applyAlignment="1">
      <alignment/>
    </xf>
    <xf numFmtId="176" fontId="5" fillId="3" borderId="2" xfId="0" applyFont="1" applyFill="1" applyBorder="1" applyAlignment="1">
      <alignment/>
    </xf>
    <xf numFmtId="176" fontId="5" fillId="3" borderId="1" xfId="0" applyFont="1" applyFill="1" applyBorder="1" applyAlignment="1">
      <alignment horizontal="left"/>
    </xf>
    <xf numFmtId="49" fontId="5" fillId="3" borderId="31" xfId="0" applyNumberFormat="1" applyFont="1" applyFill="1" applyBorder="1" applyAlignment="1" applyProtection="1">
      <alignment horizontal="left"/>
      <protection locked="0"/>
    </xf>
    <xf numFmtId="176" fontId="5" fillId="3" borderId="24" xfId="0" applyFont="1" applyFill="1" applyBorder="1" applyAlignment="1" applyProtection="1">
      <alignment horizontal="left"/>
      <protection locked="0"/>
    </xf>
    <xf numFmtId="49" fontId="5" fillId="2" borderId="32" xfId="18" applyNumberFormat="1" applyFont="1" applyFill="1" applyBorder="1" applyAlignment="1" applyProtection="1">
      <alignment/>
      <protection locked="0"/>
    </xf>
    <xf numFmtId="40" fontId="5" fillId="2" borderId="33" xfId="18" applyFont="1" applyFill="1" applyBorder="1" applyAlignment="1" applyProtection="1">
      <alignment/>
      <protection locked="0"/>
    </xf>
    <xf numFmtId="40" fontId="5" fillId="0" borderId="0" xfId="18" applyFont="1" applyAlignment="1">
      <alignment/>
    </xf>
    <xf numFmtId="40" fontId="5" fillId="0" borderId="0" xfId="18" applyFont="1" applyFill="1" applyAlignment="1">
      <alignment/>
    </xf>
    <xf numFmtId="176" fontId="15" fillId="0" borderId="2" xfId="0" applyFont="1" applyFill="1" applyBorder="1" applyAlignment="1" applyProtection="1">
      <alignment horizontal="left"/>
      <protection locked="0"/>
    </xf>
    <xf numFmtId="40" fontId="15" fillId="0" borderId="2" xfId="18" applyFont="1" applyFill="1" applyBorder="1" applyAlignment="1" applyProtection="1">
      <alignment/>
      <protection locked="0"/>
    </xf>
    <xf numFmtId="40" fontId="15" fillId="5" borderId="2" xfId="18" applyFont="1" applyFill="1" applyBorder="1" applyAlignment="1" applyProtection="1">
      <alignment/>
      <protection locked="0"/>
    </xf>
    <xf numFmtId="40" fontId="15" fillId="5" borderId="2" xfId="18" applyFont="1" applyFill="1" applyBorder="1" applyAlignment="1" applyProtection="1">
      <alignment horizontal="right"/>
      <protection locked="0"/>
    </xf>
    <xf numFmtId="40" fontId="15" fillId="5" borderId="2" xfId="18" applyFont="1" applyFill="1" applyBorder="1" applyAlignment="1" applyProtection="1" quotePrefix="1">
      <alignment horizontal="right"/>
      <protection locked="0"/>
    </xf>
    <xf numFmtId="38" fontId="15" fillId="5" borderId="2" xfId="18" applyNumberFormat="1" applyFont="1" applyFill="1" applyBorder="1" applyAlignment="1" applyProtection="1">
      <alignment horizontal="center"/>
      <protection locked="0"/>
    </xf>
    <xf numFmtId="40" fontId="15" fillId="5" borderId="2" xfId="18" applyFont="1" applyFill="1" applyBorder="1" applyAlignment="1">
      <alignment/>
    </xf>
    <xf numFmtId="40" fontId="15" fillId="5" borderId="2" xfId="18" applyFont="1" applyFill="1" applyBorder="1" applyAlignment="1" quotePrefix="1">
      <alignment horizontal="right"/>
    </xf>
    <xf numFmtId="40" fontId="15" fillId="5" borderId="2" xfId="18" applyFont="1" applyFill="1" applyBorder="1" applyAlignment="1">
      <alignment horizontal="right"/>
    </xf>
    <xf numFmtId="38" fontId="5" fillId="0" borderId="0" xfId="18" applyNumberFormat="1" applyFont="1" applyFill="1" applyBorder="1" applyAlignment="1" applyProtection="1">
      <alignment horizontal="center"/>
      <protection locked="0"/>
    </xf>
    <xf numFmtId="4" fontId="5" fillId="0" borderId="24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2" fontId="5" fillId="0" borderId="28" xfId="0" applyNumberFormat="1" applyFont="1" applyFill="1" applyBorder="1" applyAlignment="1">
      <alignment/>
    </xf>
    <xf numFmtId="40" fontId="5" fillId="0" borderId="28" xfId="18" applyFont="1" applyFill="1" applyBorder="1" applyAlignment="1" applyProtection="1">
      <alignment/>
      <protection locked="0"/>
    </xf>
    <xf numFmtId="40" fontId="5" fillId="0" borderId="33" xfId="18" applyFont="1" applyFill="1" applyBorder="1" applyAlignment="1" applyProtection="1">
      <alignment/>
      <protection locked="0"/>
    </xf>
    <xf numFmtId="40" fontId="5" fillId="0" borderId="34" xfId="18" applyFont="1" applyFill="1" applyBorder="1" applyAlignment="1" applyProtection="1">
      <alignment/>
      <protection locked="0"/>
    </xf>
    <xf numFmtId="38" fontId="5" fillId="0" borderId="24" xfId="18" applyNumberFormat="1" applyFont="1" applyFill="1" applyBorder="1" applyAlignment="1" applyProtection="1">
      <alignment horizontal="center"/>
      <protection locked="0"/>
    </xf>
    <xf numFmtId="4" fontId="5" fillId="0" borderId="3" xfId="0" applyNumberFormat="1" applyFont="1" applyFill="1" applyBorder="1" applyAlignment="1">
      <alignment horizontal="right"/>
    </xf>
    <xf numFmtId="176" fontId="5" fillId="0" borderId="30" xfId="0" applyFont="1" applyFill="1" applyBorder="1" applyAlignment="1">
      <alignment horizontal="center"/>
    </xf>
    <xf numFmtId="40" fontId="5" fillId="0" borderId="30" xfId="18" applyFont="1" applyFill="1" applyBorder="1" applyAlignment="1" applyProtection="1">
      <alignment/>
      <protection locked="0"/>
    </xf>
    <xf numFmtId="4" fontId="5" fillId="0" borderId="35" xfId="0" applyNumberFormat="1" applyFont="1" applyFill="1" applyBorder="1" applyAlignment="1">
      <alignment/>
    </xf>
    <xf numFmtId="40" fontId="5" fillId="0" borderId="2" xfId="18" applyFont="1" applyFill="1" applyBorder="1" applyAlignment="1" applyProtection="1" quotePrefix="1">
      <alignment horizontal="right"/>
      <protection locked="0"/>
    </xf>
    <xf numFmtId="40" fontId="5" fillId="0" borderId="2" xfId="18" applyFont="1" applyFill="1" applyBorder="1" applyAlignment="1" quotePrefix="1">
      <alignment horizontal="right"/>
    </xf>
    <xf numFmtId="40" fontId="5" fillId="0" borderId="24" xfId="18" applyFont="1" applyFill="1" applyBorder="1" applyAlignment="1" quotePrefix="1">
      <alignment horizontal="right"/>
    </xf>
    <xf numFmtId="38" fontId="5" fillId="0" borderId="30" xfId="18" applyNumberFormat="1" applyFont="1" applyFill="1" applyBorder="1" applyAlignment="1" applyProtection="1">
      <alignment horizontal="center"/>
      <protection locked="0"/>
    </xf>
    <xf numFmtId="38" fontId="5" fillId="6" borderId="2" xfId="18" applyNumberFormat="1" applyFont="1" applyFill="1" applyBorder="1" applyAlignment="1" applyProtection="1">
      <alignment horizontal="center"/>
      <protection locked="0"/>
    </xf>
    <xf numFmtId="40" fontId="15" fillId="0" borderId="2" xfId="18" applyFont="1" applyFill="1" applyBorder="1" applyAlignment="1">
      <alignment/>
    </xf>
    <xf numFmtId="40" fontId="5" fillId="0" borderId="2" xfId="18" applyFont="1" applyFill="1" applyBorder="1" applyAlignment="1" applyProtection="1">
      <alignment horizontal="right"/>
      <protection locked="0"/>
    </xf>
    <xf numFmtId="40" fontId="5" fillId="0" borderId="2" xfId="18" applyFont="1" applyFill="1" applyBorder="1" applyAlignment="1">
      <alignment horizontal="right"/>
    </xf>
    <xf numFmtId="176" fontId="5" fillId="0" borderId="24" xfId="0" applyFont="1" applyFill="1" applyBorder="1" applyAlignment="1" applyProtection="1">
      <alignment horizontal="left"/>
      <protection locked="0"/>
    </xf>
    <xf numFmtId="176" fontId="5" fillId="0" borderId="36" xfId="0" applyFont="1" applyFill="1" applyBorder="1" applyAlignment="1" applyProtection="1">
      <alignment horizontal="left"/>
      <protection locked="0"/>
    </xf>
    <xf numFmtId="176" fontId="5" fillId="0" borderId="37" xfId="0" applyFont="1" applyFill="1" applyBorder="1" applyAlignment="1" applyProtection="1">
      <alignment horizontal="center"/>
      <protection locked="0"/>
    </xf>
    <xf numFmtId="38" fontId="5" fillId="0" borderId="38" xfId="18" applyNumberFormat="1" applyFont="1" applyFill="1" applyBorder="1" applyAlignment="1">
      <alignment horizontal="center"/>
    </xf>
    <xf numFmtId="176" fontId="5" fillId="0" borderId="39" xfId="0" applyFont="1" applyFill="1" applyBorder="1" applyAlignment="1" applyProtection="1">
      <alignment horizontal="left"/>
      <protection locked="0"/>
    </xf>
    <xf numFmtId="38" fontId="5" fillId="0" borderId="40" xfId="18" applyNumberFormat="1" applyFont="1" applyFill="1" applyBorder="1" applyAlignment="1">
      <alignment horizontal="center"/>
    </xf>
    <xf numFmtId="40" fontId="5" fillId="0" borderId="2" xfId="18" applyFont="1" applyFill="1" applyBorder="1" applyAlignment="1">
      <alignment horizontal="center"/>
    </xf>
    <xf numFmtId="38" fontId="5" fillId="0" borderId="41" xfId="18" applyNumberFormat="1" applyFont="1" applyFill="1" applyBorder="1" applyAlignment="1">
      <alignment horizontal="center"/>
    </xf>
    <xf numFmtId="176" fontId="5" fillId="0" borderId="42" xfId="0" applyFont="1" applyFill="1" applyBorder="1" applyAlignment="1" applyProtection="1">
      <alignment horizontal="left"/>
      <protection locked="0"/>
    </xf>
    <xf numFmtId="176" fontId="5" fillId="0" borderId="43" xfId="0" applyFont="1" applyFill="1" applyBorder="1" applyAlignment="1" applyProtection="1">
      <alignment horizontal="left"/>
      <protection locked="0"/>
    </xf>
    <xf numFmtId="176" fontId="7" fillId="0" borderId="0" xfId="0" applyFont="1" applyFill="1" applyAlignment="1">
      <alignment horizontal="centerContinuous"/>
    </xf>
    <xf numFmtId="176" fontId="7" fillId="0" borderId="0" xfId="0" applyFont="1" applyFill="1" applyAlignment="1">
      <alignment/>
    </xf>
    <xf numFmtId="176" fontId="5" fillId="0" borderId="2" xfId="0" applyFont="1" applyFill="1" applyBorder="1" applyAlignment="1" applyProtection="1">
      <alignment horizontal="justify" vertical="top"/>
      <protection locked="0"/>
    </xf>
    <xf numFmtId="176" fontId="13" fillId="0" borderId="2" xfId="0" applyFont="1" applyFill="1" applyBorder="1" applyAlignment="1">
      <alignment/>
    </xf>
    <xf numFmtId="49" fontId="5" fillId="0" borderId="32" xfId="18" applyNumberFormat="1" applyFont="1" applyFill="1" applyBorder="1" applyAlignment="1" applyProtection="1">
      <alignment/>
      <protection locked="0"/>
    </xf>
    <xf numFmtId="176" fontId="5" fillId="0" borderId="30" xfId="0" applyFont="1" applyFill="1" applyBorder="1" applyAlignment="1" applyProtection="1">
      <alignment horizontal="left"/>
      <protection locked="0"/>
    </xf>
    <xf numFmtId="49" fontId="5" fillId="0" borderId="44" xfId="0" applyNumberFormat="1" applyFont="1" applyFill="1" applyBorder="1" applyAlignment="1" applyProtection="1">
      <alignment horizontal="left"/>
      <protection locked="0"/>
    </xf>
    <xf numFmtId="176" fontId="5" fillId="0" borderId="29" xfId="0" applyFont="1" applyFill="1" applyBorder="1" applyAlignment="1" applyProtection="1">
      <alignment horizontal="center"/>
      <protection locked="0"/>
    </xf>
    <xf numFmtId="176" fontId="5" fillId="0" borderId="45" xfId="0" applyFont="1" applyFill="1" applyBorder="1" applyAlignment="1" applyProtection="1">
      <alignment horizontal="left"/>
      <protection locked="0"/>
    </xf>
    <xf numFmtId="176" fontId="5" fillId="0" borderId="45" xfId="0" applyFont="1" applyFill="1" applyBorder="1" applyAlignment="1">
      <alignment horizontal="center"/>
    </xf>
    <xf numFmtId="38" fontId="5" fillId="0" borderId="45" xfId="18" applyNumberFormat="1" applyFont="1" applyFill="1" applyBorder="1" applyAlignment="1" applyProtection="1">
      <alignment horizontal="center"/>
      <protection locked="0"/>
    </xf>
    <xf numFmtId="40" fontId="5" fillId="0" borderId="45" xfId="18" applyFont="1" applyFill="1" applyBorder="1" applyAlignment="1" applyProtection="1">
      <alignment/>
      <protection locked="0"/>
    </xf>
    <xf numFmtId="4" fontId="5" fillId="0" borderId="46" xfId="0" applyNumberFormat="1" applyFont="1" applyFill="1" applyBorder="1" applyAlignment="1">
      <alignment/>
    </xf>
    <xf numFmtId="49" fontId="5" fillId="0" borderId="47" xfId="18" applyNumberFormat="1" applyFont="1" applyFill="1" applyBorder="1" applyAlignment="1" applyProtection="1">
      <alignment/>
      <protection locked="0"/>
    </xf>
    <xf numFmtId="40" fontId="5" fillId="0" borderId="48" xfId="18" applyFont="1" applyFill="1" applyBorder="1" applyAlignment="1" applyProtection="1">
      <alignment/>
      <protection locked="0"/>
    </xf>
    <xf numFmtId="40" fontId="5" fillId="0" borderId="3" xfId="18" applyFont="1" applyFill="1" applyBorder="1" applyAlignment="1" applyProtection="1">
      <alignment/>
      <protection locked="0"/>
    </xf>
    <xf numFmtId="176" fontId="5" fillId="0" borderId="49" xfId="0" applyFont="1" applyFill="1" applyBorder="1" applyAlignment="1" applyProtection="1">
      <alignment horizontal="left"/>
      <protection locked="0"/>
    </xf>
    <xf numFmtId="176" fontId="5" fillId="0" borderId="49" xfId="0" applyFont="1" applyFill="1" applyBorder="1" applyAlignment="1">
      <alignment horizontal="center"/>
    </xf>
    <xf numFmtId="38" fontId="5" fillId="0" borderId="49" xfId="18" applyNumberFormat="1" applyFont="1" applyFill="1" applyBorder="1" applyAlignment="1">
      <alignment horizontal="center"/>
    </xf>
    <xf numFmtId="40" fontId="5" fillId="0" borderId="49" xfId="18" applyFont="1" applyFill="1" applyBorder="1" applyAlignment="1">
      <alignment/>
    </xf>
    <xf numFmtId="176" fontId="5" fillId="0" borderId="50" xfId="0" applyFont="1" applyFill="1" applyBorder="1" applyAlignment="1" applyProtection="1">
      <alignment horizontal="left"/>
      <protection locked="0"/>
    </xf>
    <xf numFmtId="176" fontId="5" fillId="0" borderId="51" xfId="0" applyFont="1" applyFill="1" applyBorder="1" applyAlignment="1" applyProtection="1">
      <alignment horizontal="left"/>
      <protection locked="0"/>
    </xf>
    <xf numFmtId="38" fontId="5" fillId="0" borderId="29" xfId="18" applyNumberFormat="1" applyFont="1" applyFill="1" applyBorder="1" applyAlignment="1" applyProtection="1">
      <alignment horizontal="center"/>
      <protection locked="0"/>
    </xf>
    <xf numFmtId="40" fontId="5" fillId="0" borderId="29" xfId="18" applyFont="1" applyFill="1" applyBorder="1" applyAlignment="1" applyProtection="1">
      <alignment/>
      <protection locked="0"/>
    </xf>
    <xf numFmtId="176" fontId="5" fillId="0" borderId="52" xfId="0" applyFont="1" applyFill="1" applyBorder="1" applyAlignment="1">
      <alignment horizontal="left"/>
    </xf>
    <xf numFmtId="4" fontId="5" fillId="0" borderId="53" xfId="0" applyNumberFormat="1" applyFont="1" applyFill="1" applyBorder="1" applyAlignment="1">
      <alignment/>
    </xf>
    <xf numFmtId="176" fontId="5" fillId="0" borderId="51" xfId="0" applyFont="1" applyFill="1" applyBorder="1" applyAlignment="1">
      <alignment horizontal="left"/>
    </xf>
    <xf numFmtId="4" fontId="5" fillId="0" borderId="54" xfId="0" applyNumberFormat="1" applyFont="1" applyFill="1" applyBorder="1" applyAlignment="1">
      <alignment/>
    </xf>
    <xf numFmtId="176" fontId="5" fillId="0" borderId="55" xfId="0" applyFont="1" applyFill="1" applyBorder="1" applyAlignment="1" applyProtection="1">
      <alignment horizontal="left"/>
      <protection locked="0"/>
    </xf>
    <xf numFmtId="4" fontId="5" fillId="0" borderId="56" xfId="0" applyNumberFormat="1" applyFont="1" applyFill="1" applyBorder="1" applyAlignment="1">
      <alignment/>
    </xf>
    <xf numFmtId="176" fontId="5" fillId="0" borderId="29" xfId="0" applyFont="1" applyFill="1" applyBorder="1" applyAlignment="1">
      <alignment horizontal="center"/>
    </xf>
    <xf numFmtId="176" fontId="9" fillId="0" borderId="0" xfId="0" applyFont="1" applyFill="1" applyAlignment="1">
      <alignment horizontal="center"/>
    </xf>
    <xf numFmtId="176" fontId="9" fillId="0" borderId="0" xfId="0" applyFont="1" applyFill="1" applyBorder="1" applyAlignment="1" applyProtection="1">
      <alignment horizontal="center"/>
      <protection locked="0"/>
    </xf>
    <xf numFmtId="38" fontId="5" fillId="0" borderId="57" xfId="18" applyNumberFormat="1" applyFont="1" applyFill="1" applyBorder="1" applyAlignment="1">
      <alignment horizontal="center"/>
    </xf>
    <xf numFmtId="176" fontId="5" fillId="0" borderId="31" xfId="0" applyFont="1" applyFill="1" applyBorder="1" applyAlignment="1" applyProtection="1">
      <alignment horizontal="left"/>
      <protection locked="0"/>
    </xf>
    <xf numFmtId="38" fontId="5" fillId="0" borderId="28" xfId="18" applyNumberFormat="1" applyFont="1" applyFill="1" applyBorder="1" applyAlignment="1">
      <alignment horizontal="center"/>
    </xf>
    <xf numFmtId="176" fontId="5" fillId="0" borderId="58" xfId="0" applyFont="1" applyFill="1" applyBorder="1" applyAlignment="1" applyProtection="1">
      <alignment horizontal="left"/>
      <protection locked="0"/>
    </xf>
    <xf numFmtId="176" fontId="5" fillId="0" borderId="59" xfId="0" applyFont="1" applyFill="1" applyBorder="1" applyAlignment="1" applyProtection="1">
      <alignment horizontal="center"/>
      <protection locked="0"/>
    </xf>
    <xf numFmtId="38" fontId="5" fillId="0" borderId="35" xfId="18" applyNumberFormat="1" applyFont="1" applyFill="1" applyBorder="1" applyAlignment="1">
      <alignment horizontal="center"/>
    </xf>
    <xf numFmtId="176" fontId="5" fillId="0" borderId="47" xfId="0" applyFont="1" applyFill="1" applyBorder="1" applyAlignment="1" applyProtection="1">
      <alignment horizontal="left"/>
      <protection locked="0"/>
    </xf>
    <xf numFmtId="176" fontId="5" fillId="0" borderId="48" xfId="0" applyFont="1" applyFill="1" applyBorder="1" applyAlignment="1" applyProtection="1">
      <alignment horizontal="center"/>
      <protection locked="0"/>
    </xf>
    <xf numFmtId="38" fontId="5" fillId="0" borderId="3" xfId="18" applyNumberFormat="1" applyFont="1" applyFill="1" applyBorder="1" applyAlignment="1">
      <alignment horizontal="center"/>
    </xf>
    <xf numFmtId="176" fontId="5" fillId="0" borderId="60" xfId="0" applyFont="1" applyFill="1" applyBorder="1" applyAlignment="1">
      <alignment horizontal="center"/>
    </xf>
    <xf numFmtId="176" fontId="5" fillId="0" borderId="61" xfId="0" applyFont="1" applyFill="1" applyBorder="1" applyAlignment="1">
      <alignment horizontal="center"/>
    </xf>
    <xf numFmtId="176" fontId="5" fillId="0" borderId="62" xfId="0" applyFont="1" applyFill="1" applyBorder="1" applyAlignment="1">
      <alignment horizontal="center" vertical="center"/>
    </xf>
    <xf numFmtId="176" fontId="5" fillId="0" borderId="63" xfId="0" applyFont="1" applyFill="1" applyBorder="1" applyAlignment="1">
      <alignment horizontal="center" vertical="center"/>
    </xf>
    <xf numFmtId="38" fontId="5" fillId="0" borderId="64" xfId="18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2"/>
  <sheetViews>
    <sheetView tabSelected="1" view="pageBreakPreview" zoomScale="75" zoomScaleSheetLayoutView="75" workbookViewId="0" topLeftCell="A1">
      <selection activeCell="B20" sqref="B20"/>
    </sheetView>
  </sheetViews>
  <sheetFormatPr defaultColWidth="9.625" defaultRowHeight="12.75"/>
  <cols>
    <col min="1" max="1" width="14.875" style="54" customWidth="1"/>
    <col min="2" max="2" width="54.125" style="54" customWidth="1"/>
    <col min="3" max="3" width="3.875" style="54" customWidth="1"/>
    <col min="4" max="4" width="10.50390625" style="54" customWidth="1"/>
    <col min="5" max="5" width="13.375" style="54" customWidth="1"/>
    <col min="6" max="6" width="13.75390625" style="54" customWidth="1"/>
    <col min="7" max="7" width="10.25390625" style="15" bestFit="1" customWidth="1"/>
    <col min="8" max="8" width="10.25390625" style="15" customWidth="1"/>
    <col min="9" max="9" width="12.25390625" style="15" customWidth="1"/>
    <col min="10" max="20" width="9.625" style="15" customWidth="1"/>
    <col min="21" max="16384" width="9.625" style="15" customWidth="1"/>
  </cols>
  <sheetData>
    <row r="1" spans="1:7" s="159" customFormat="1" ht="15" customHeight="1">
      <c r="A1" s="189" t="s">
        <v>920</v>
      </c>
      <c r="B1" s="189"/>
      <c r="C1" s="189"/>
      <c r="D1" s="189"/>
      <c r="E1" s="189"/>
      <c r="F1" s="189"/>
      <c r="G1" s="158"/>
    </row>
    <row r="2" spans="1:7" s="159" customFormat="1" ht="15" customHeight="1">
      <c r="A2" s="189" t="s">
        <v>919</v>
      </c>
      <c r="B2" s="189"/>
      <c r="C2" s="189"/>
      <c r="D2" s="189"/>
      <c r="E2" s="189"/>
      <c r="F2" s="189"/>
      <c r="G2" s="158"/>
    </row>
    <row r="3" spans="1:7" s="159" customFormat="1" ht="15" customHeight="1">
      <c r="A3" s="189" t="s">
        <v>0</v>
      </c>
      <c r="B3" s="189"/>
      <c r="C3" s="189"/>
      <c r="D3" s="189"/>
      <c r="E3" s="189"/>
      <c r="F3" s="189"/>
      <c r="G3" s="158"/>
    </row>
    <row r="4" spans="1:6" ht="15" customHeight="1">
      <c r="A4" s="61" t="s">
        <v>323</v>
      </c>
      <c r="B4" s="62"/>
      <c r="C4" s="63"/>
      <c r="D4" s="100" t="s">
        <v>647</v>
      </c>
      <c r="E4" s="64"/>
      <c r="F4" s="65"/>
    </row>
    <row r="5" spans="1:6" ht="15" customHeight="1">
      <c r="A5" s="66" t="s">
        <v>653</v>
      </c>
      <c r="B5" s="62"/>
      <c r="C5" s="63"/>
      <c r="D5" s="100" t="s">
        <v>648</v>
      </c>
      <c r="E5" s="64"/>
      <c r="F5" s="65"/>
    </row>
    <row r="6" spans="1:6" ht="15" customHeight="1">
      <c r="A6" s="61" t="s">
        <v>652</v>
      </c>
      <c r="B6" s="62"/>
      <c r="C6" s="63"/>
      <c r="D6" s="100" t="s">
        <v>649</v>
      </c>
      <c r="E6" s="64"/>
      <c r="F6" s="65"/>
    </row>
    <row r="7" spans="1:6" ht="15" customHeight="1">
      <c r="A7" s="61" t="s">
        <v>287</v>
      </c>
      <c r="B7" s="62"/>
      <c r="C7" s="63"/>
      <c r="D7" s="100" t="s">
        <v>650</v>
      </c>
      <c r="E7" s="64"/>
      <c r="F7" s="67"/>
    </row>
    <row r="8" spans="1:6" ht="15" customHeight="1">
      <c r="A8" s="61" t="s">
        <v>324</v>
      </c>
      <c r="B8" s="62"/>
      <c r="C8" s="63"/>
      <c r="D8" s="100" t="s">
        <v>654</v>
      </c>
      <c r="E8" s="64"/>
      <c r="F8" s="67"/>
    </row>
    <row r="9" spans="1:6" ht="15" customHeight="1">
      <c r="A9" s="66"/>
      <c r="B9" s="62"/>
      <c r="C9" s="63"/>
      <c r="D9" s="101" t="s">
        <v>651</v>
      </c>
      <c r="E9" s="64"/>
      <c r="F9" s="71">
        <v>3.05</v>
      </c>
    </row>
    <row r="10" spans="1:6" ht="12.75" customHeight="1">
      <c r="A10" s="88"/>
      <c r="B10" s="66"/>
      <c r="C10" s="63"/>
      <c r="D10" s="101"/>
      <c r="E10" s="64"/>
      <c r="F10" s="67"/>
    </row>
    <row r="11" spans="1:6" ht="12.75" customHeight="1" thickBot="1">
      <c r="A11" s="87"/>
      <c r="B11" s="66"/>
      <c r="C11" s="63"/>
      <c r="D11" s="101"/>
      <c r="E11" s="64"/>
      <c r="F11" s="67"/>
    </row>
    <row r="12" spans="1:6" s="16" customFormat="1" ht="12.75" customHeight="1" thickTop="1">
      <c r="A12" s="18"/>
      <c r="B12" s="19"/>
      <c r="C12" s="19"/>
      <c r="D12" s="20"/>
      <c r="E12" s="21" t="s">
        <v>1</v>
      </c>
      <c r="F12" s="22" t="s">
        <v>2</v>
      </c>
    </row>
    <row r="13" spans="1:6" s="16" customFormat="1" ht="12.75" customHeight="1" thickBot="1">
      <c r="A13" s="23" t="s">
        <v>3</v>
      </c>
      <c r="B13" s="13" t="s">
        <v>4</v>
      </c>
      <c r="C13" s="13" t="s">
        <v>5</v>
      </c>
      <c r="D13" s="14" t="s">
        <v>6</v>
      </c>
      <c r="E13" s="24" t="s">
        <v>7</v>
      </c>
      <c r="F13" s="25" t="s">
        <v>8</v>
      </c>
    </row>
    <row r="14" spans="1:6" ht="12.75" customHeight="1">
      <c r="A14" s="3"/>
      <c r="B14" s="4"/>
      <c r="C14" s="5"/>
      <c r="D14" s="26"/>
      <c r="E14" s="27"/>
      <c r="F14" s="6"/>
    </row>
    <row r="15" spans="1:6" ht="11.25">
      <c r="A15" s="7" t="s">
        <v>9</v>
      </c>
      <c r="B15" s="160" t="s">
        <v>10</v>
      </c>
      <c r="C15" s="5" t="s">
        <v>11</v>
      </c>
      <c r="D15" s="129"/>
      <c r="E15" s="129"/>
      <c r="F15" s="130">
        <f>SUM(F16,F37,F54,F127)</f>
        <v>513409.41599999997</v>
      </c>
    </row>
    <row r="16" spans="1:6" ht="12.75" customHeight="1">
      <c r="A16" s="7" t="s">
        <v>12</v>
      </c>
      <c r="B16" s="8" t="s">
        <v>13</v>
      </c>
      <c r="C16" s="5" t="s">
        <v>11</v>
      </c>
      <c r="D16" s="27"/>
      <c r="E16" s="27"/>
      <c r="F16" s="6">
        <f>SUM(F17,F24,F35,F36)</f>
        <v>123678.901</v>
      </c>
    </row>
    <row r="17" spans="1:6" ht="12.75" customHeight="1">
      <c r="A17" s="7" t="s">
        <v>14</v>
      </c>
      <c r="B17" s="8" t="s">
        <v>15</v>
      </c>
      <c r="C17" s="9" t="s">
        <v>11</v>
      </c>
      <c r="D17" s="26"/>
      <c r="E17" s="27"/>
      <c r="F17" s="6">
        <f>SUM(F18:F23)</f>
        <v>5156.224</v>
      </c>
    </row>
    <row r="18" spans="1:6" ht="12.75" customHeight="1">
      <c r="A18" s="7" t="s">
        <v>16</v>
      </c>
      <c r="B18" s="8" t="s">
        <v>17</v>
      </c>
      <c r="C18" s="9" t="s">
        <v>232</v>
      </c>
      <c r="D18" s="26">
        <v>1</v>
      </c>
      <c r="E18" s="27">
        <v>2590900</v>
      </c>
      <c r="F18" s="6">
        <f>D18*E18/1000</f>
        <v>2590.9</v>
      </c>
    </row>
    <row r="19" spans="1:6" ht="12.75" customHeight="1">
      <c r="A19" s="7" t="s">
        <v>18</v>
      </c>
      <c r="B19" s="8" t="s">
        <v>19</v>
      </c>
      <c r="C19" s="9" t="s">
        <v>232</v>
      </c>
      <c r="D19" s="26"/>
      <c r="E19" s="27"/>
      <c r="F19" s="6"/>
    </row>
    <row r="20" spans="1:6" ht="12.75" customHeight="1">
      <c r="A20" s="7" t="s">
        <v>327</v>
      </c>
      <c r="B20" s="8" t="s">
        <v>20</v>
      </c>
      <c r="C20" s="9" t="s">
        <v>232</v>
      </c>
      <c r="D20" s="26">
        <v>1</v>
      </c>
      <c r="E20" s="27">
        <v>2565324</v>
      </c>
      <c r="F20" s="6">
        <f>D20*E20/1000</f>
        <v>2565.324</v>
      </c>
    </row>
    <row r="21" spans="1:6" ht="12.75" customHeight="1">
      <c r="A21" s="7" t="s">
        <v>21</v>
      </c>
      <c r="B21" s="8" t="s">
        <v>22</v>
      </c>
      <c r="C21" s="9" t="s">
        <v>123</v>
      </c>
      <c r="D21" s="26"/>
      <c r="E21" s="27"/>
      <c r="F21" s="6"/>
    </row>
    <row r="22" spans="1:6" ht="12.75" customHeight="1">
      <c r="A22" s="7" t="s">
        <v>23</v>
      </c>
      <c r="B22" s="8" t="s">
        <v>24</v>
      </c>
      <c r="C22" s="9" t="s">
        <v>123</v>
      </c>
      <c r="D22" s="26"/>
      <c r="E22" s="27"/>
      <c r="F22" s="6"/>
    </row>
    <row r="23" spans="1:6" ht="12.75" customHeight="1">
      <c r="A23" s="7" t="s">
        <v>25</v>
      </c>
      <c r="B23" s="8" t="s">
        <v>328</v>
      </c>
      <c r="C23" s="9" t="s">
        <v>11</v>
      </c>
      <c r="D23" s="26"/>
      <c r="E23" s="27"/>
      <c r="F23" s="6"/>
    </row>
    <row r="24" spans="1:6" ht="12.75" customHeight="1">
      <c r="A24" s="7" t="s">
        <v>27</v>
      </c>
      <c r="B24" s="8" t="s">
        <v>329</v>
      </c>
      <c r="C24" s="9" t="s">
        <v>11</v>
      </c>
      <c r="D24" s="26"/>
      <c r="E24" s="27"/>
      <c r="F24" s="6">
        <f>SUM(F25:F34)</f>
        <v>102849.677</v>
      </c>
    </row>
    <row r="25" spans="1:6" ht="12.75" customHeight="1">
      <c r="A25" s="7" t="s">
        <v>330</v>
      </c>
      <c r="B25" s="8" t="s">
        <v>17</v>
      </c>
      <c r="C25" s="9" t="s">
        <v>232</v>
      </c>
      <c r="D25" s="26">
        <v>1</v>
      </c>
      <c r="E25" s="27">
        <v>6699181</v>
      </c>
      <c r="F25" s="6">
        <f aca="true" t="shared" si="0" ref="F25:F34">D25*E25/1000</f>
        <v>6699.181</v>
      </c>
    </row>
    <row r="26" spans="1:6" ht="12.75" customHeight="1">
      <c r="A26" s="7" t="s">
        <v>331</v>
      </c>
      <c r="B26" s="8" t="s">
        <v>332</v>
      </c>
      <c r="C26" s="9" t="s">
        <v>232</v>
      </c>
      <c r="D26" s="26"/>
      <c r="E26" s="27"/>
      <c r="F26" s="6">
        <f t="shared" si="0"/>
        <v>0</v>
      </c>
    </row>
    <row r="27" spans="1:6" ht="12.75" customHeight="1">
      <c r="A27" s="7" t="s">
        <v>28</v>
      </c>
      <c r="B27" s="8" t="s">
        <v>19</v>
      </c>
      <c r="C27" s="9" t="s">
        <v>232</v>
      </c>
      <c r="D27" s="26">
        <v>1</v>
      </c>
      <c r="E27" s="27">
        <v>107790</v>
      </c>
      <c r="F27" s="6">
        <f t="shared" si="0"/>
        <v>107.79</v>
      </c>
    </row>
    <row r="28" spans="1:6" ht="12.75" customHeight="1">
      <c r="A28" s="7" t="s">
        <v>333</v>
      </c>
      <c r="B28" s="8" t="s">
        <v>334</v>
      </c>
      <c r="C28" s="9" t="s">
        <v>232</v>
      </c>
      <c r="D28" s="26">
        <v>1</v>
      </c>
      <c r="E28" s="27">
        <v>2952204</v>
      </c>
      <c r="F28" s="6">
        <f t="shared" si="0"/>
        <v>2952.204</v>
      </c>
    </row>
    <row r="29" spans="1:6" ht="12.75" customHeight="1">
      <c r="A29" s="7" t="s">
        <v>335</v>
      </c>
      <c r="B29" s="8" t="s">
        <v>336</v>
      </c>
      <c r="C29" s="9" t="s">
        <v>232</v>
      </c>
      <c r="D29" s="26"/>
      <c r="E29" s="27"/>
      <c r="F29" s="6">
        <f t="shared" si="0"/>
        <v>0</v>
      </c>
    </row>
    <row r="30" spans="1:6" ht="12.75" customHeight="1">
      <c r="A30" s="7" t="s">
        <v>29</v>
      </c>
      <c r="B30" s="8" t="s">
        <v>30</v>
      </c>
      <c r="C30" s="9" t="s">
        <v>232</v>
      </c>
      <c r="D30" s="26">
        <v>1</v>
      </c>
      <c r="E30" s="27">
        <v>1578500</v>
      </c>
      <c r="F30" s="6">
        <f t="shared" si="0"/>
        <v>1578.5</v>
      </c>
    </row>
    <row r="31" spans="1:6" ht="12.75" customHeight="1">
      <c r="A31" s="7" t="s">
        <v>31</v>
      </c>
      <c r="B31" s="8" t="s">
        <v>32</v>
      </c>
      <c r="C31" s="9" t="s">
        <v>232</v>
      </c>
      <c r="D31" s="26"/>
      <c r="E31" s="27"/>
      <c r="F31" s="6">
        <f t="shared" si="0"/>
        <v>0</v>
      </c>
    </row>
    <row r="32" spans="1:6" ht="12.75" customHeight="1">
      <c r="A32" s="7" t="s">
        <v>33</v>
      </c>
      <c r="B32" s="8" t="s">
        <v>22</v>
      </c>
      <c r="C32" s="9" t="s">
        <v>232</v>
      </c>
      <c r="D32" s="26">
        <v>1</v>
      </c>
      <c r="E32" s="27">
        <v>30800</v>
      </c>
      <c r="F32" s="6">
        <f t="shared" si="0"/>
        <v>30.8</v>
      </c>
    </row>
    <row r="33" spans="1:6" ht="12.75" customHeight="1">
      <c r="A33" s="7" t="s">
        <v>34</v>
      </c>
      <c r="B33" s="8" t="s">
        <v>24</v>
      </c>
      <c r="C33" s="9" t="s">
        <v>232</v>
      </c>
      <c r="D33" s="26"/>
      <c r="E33" s="27"/>
      <c r="F33" s="6">
        <f t="shared" si="0"/>
        <v>0</v>
      </c>
    </row>
    <row r="34" spans="1:6" ht="12.75" customHeight="1">
      <c r="A34" s="7" t="s">
        <v>35</v>
      </c>
      <c r="B34" s="8" t="s">
        <v>337</v>
      </c>
      <c r="C34" s="9" t="s">
        <v>11</v>
      </c>
      <c r="D34" s="26">
        <v>1</v>
      </c>
      <c r="E34" s="27">
        <v>91481202</v>
      </c>
      <c r="F34" s="6">
        <f t="shared" si="0"/>
        <v>91481.202</v>
      </c>
    </row>
    <row r="35" spans="1:6" ht="12.75" customHeight="1">
      <c r="A35" s="7" t="s">
        <v>36</v>
      </c>
      <c r="B35" s="8" t="s">
        <v>37</v>
      </c>
      <c r="C35" s="9" t="s">
        <v>11</v>
      </c>
      <c r="D35" s="26"/>
      <c r="E35" s="73"/>
      <c r="F35" s="72">
        <v>3085</v>
      </c>
    </row>
    <row r="36" spans="1:6" ht="12.75" customHeight="1">
      <c r="A36" s="7" t="s">
        <v>38</v>
      </c>
      <c r="B36" s="8" t="s">
        <v>39</v>
      </c>
      <c r="C36" s="9" t="s">
        <v>11</v>
      </c>
      <c r="D36" s="26"/>
      <c r="E36" s="27"/>
      <c r="F36" s="6">
        <v>12588</v>
      </c>
    </row>
    <row r="37" spans="1:6" ht="12.75" customHeight="1">
      <c r="A37" s="7" t="s">
        <v>40</v>
      </c>
      <c r="B37" s="8" t="s">
        <v>41</v>
      </c>
      <c r="C37" s="5" t="s">
        <v>11</v>
      </c>
      <c r="D37" s="27"/>
      <c r="E37" s="27"/>
      <c r="F37" s="6">
        <f>SUM(F38:F46,F52:F53)</f>
        <v>101885.515</v>
      </c>
    </row>
    <row r="38" spans="1:6" ht="12.75" customHeight="1">
      <c r="A38" s="7" t="s">
        <v>353</v>
      </c>
      <c r="B38" s="8" t="s">
        <v>354</v>
      </c>
      <c r="C38" s="9" t="s">
        <v>42</v>
      </c>
      <c r="D38" s="26">
        <v>45</v>
      </c>
      <c r="E38" s="27">
        <v>797567</v>
      </c>
      <c r="F38" s="6">
        <f>D38*E38/1000</f>
        <v>35890.515</v>
      </c>
    </row>
    <row r="39" spans="1:6" ht="12.75" customHeight="1">
      <c r="A39" s="7" t="s">
        <v>355</v>
      </c>
      <c r="B39" s="8" t="s">
        <v>356</v>
      </c>
      <c r="C39" s="9" t="s">
        <v>42</v>
      </c>
      <c r="D39" s="26"/>
      <c r="E39" s="27"/>
      <c r="F39" s="6">
        <f>D39*E39/1000</f>
        <v>0</v>
      </c>
    </row>
    <row r="40" spans="1:6" ht="12.75" customHeight="1">
      <c r="A40" s="7" t="s">
        <v>43</v>
      </c>
      <c r="B40" s="8" t="s">
        <v>44</v>
      </c>
      <c r="C40" s="9" t="s">
        <v>42</v>
      </c>
      <c r="D40" s="26"/>
      <c r="E40" s="27"/>
      <c r="F40" s="6">
        <f>D40*E40/1000</f>
        <v>0</v>
      </c>
    </row>
    <row r="41" spans="1:6" ht="12.75" customHeight="1">
      <c r="A41" s="7" t="s">
        <v>357</v>
      </c>
      <c r="B41" s="8" t="s">
        <v>45</v>
      </c>
      <c r="C41" s="9" t="s">
        <v>46</v>
      </c>
      <c r="D41" s="26"/>
      <c r="E41" s="27"/>
      <c r="F41" s="6">
        <v>13800</v>
      </c>
    </row>
    <row r="42" spans="1:6" ht="12.75" customHeight="1">
      <c r="A42" s="7" t="s">
        <v>358</v>
      </c>
      <c r="B42" s="8" t="s">
        <v>359</v>
      </c>
      <c r="C42" s="9" t="s">
        <v>11</v>
      </c>
      <c r="D42" s="26"/>
      <c r="E42" s="27"/>
      <c r="F42" s="6"/>
    </row>
    <row r="43" spans="1:6" ht="12.75" customHeight="1">
      <c r="A43" s="7" t="s">
        <v>338</v>
      </c>
      <c r="B43" s="8" t="s">
        <v>360</v>
      </c>
      <c r="C43" s="9" t="s">
        <v>42</v>
      </c>
      <c r="D43" s="26"/>
      <c r="E43" s="27"/>
      <c r="F43" s="6">
        <v>6357</v>
      </c>
    </row>
    <row r="44" spans="1:6" ht="12.75" customHeight="1">
      <c r="A44" s="7" t="s">
        <v>339</v>
      </c>
      <c r="B44" s="8" t="s">
        <v>340</v>
      </c>
      <c r="C44" s="9" t="s">
        <v>42</v>
      </c>
      <c r="D44" s="26"/>
      <c r="E44" s="27"/>
      <c r="F44" s="6">
        <f>D44*E44/1000</f>
        <v>0</v>
      </c>
    </row>
    <row r="45" spans="1:6" ht="12.75" customHeight="1">
      <c r="A45" s="7" t="s">
        <v>47</v>
      </c>
      <c r="B45" s="8" t="s">
        <v>361</v>
      </c>
      <c r="C45" s="9" t="s">
        <v>11</v>
      </c>
      <c r="D45" s="26"/>
      <c r="E45" s="27"/>
      <c r="F45" s="6">
        <v>374</v>
      </c>
    </row>
    <row r="46" spans="1:6" ht="12.75" customHeight="1">
      <c r="A46" s="7" t="s">
        <v>48</v>
      </c>
      <c r="B46" s="8" t="s">
        <v>49</v>
      </c>
      <c r="C46" s="9" t="s">
        <v>11</v>
      </c>
      <c r="D46" s="26"/>
      <c r="E46" s="27"/>
      <c r="F46" s="6">
        <f>SUM(F47:F51)</f>
        <v>42339</v>
      </c>
    </row>
    <row r="47" spans="1:6" ht="12.75" customHeight="1">
      <c r="A47" s="7" t="s">
        <v>50</v>
      </c>
      <c r="B47" s="8" t="s">
        <v>341</v>
      </c>
      <c r="C47" s="9" t="s">
        <v>11</v>
      </c>
      <c r="D47" s="26"/>
      <c r="E47" s="27"/>
      <c r="F47" s="6">
        <v>12184</v>
      </c>
    </row>
    <row r="48" spans="1:6" ht="12.75" customHeight="1">
      <c r="A48" s="7" t="s">
        <v>51</v>
      </c>
      <c r="B48" s="8" t="s">
        <v>52</v>
      </c>
      <c r="C48" s="9" t="s">
        <v>11</v>
      </c>
      <c r="D48" s="26"/>
      <c r="E48" s="27"/>
      <c r="F48" s="6">
        <f>D48*E48/1000</f>
        <v>0</v>
      </c>
    </row>
    <row r="49" spans="1:6" ht="12.75" customHeight="1">
      <c r="A49" s="7" t="s">
        <v>53</v>
      </c>
      <c r="B49" s="8" t="s">
        <v>22</v>
      </c>
      <c r="C49" s="9" t="s">
        <v>11</v>
      </c>
      <c r="D49" s="26"/>
      <c r="E49" s="27"/>
      <c r="F49" s="6">
        <v>16564</v>
      </c>
    </row>
    <row r="50" spans="1:6" ht="12.75" customHeight="1">
      <c r="A50" s="7" t="s">
        <v>54</v>
      </c>
      <c r="B50" s="8" t="s">
        <v>24</v>
      </c>
      <c r="C50" s="9" t="s">
        <v>11</v>
      </c>
      <c r="D50" s="26"/>
      <c r="E50" s="27"/>
      <c r="F50" s="6">
        <f>D50*E50/1000</f>
        <v>0</v>
      </c>
    </row>
    <row r="51" spans="1:6" ht="12.75" customHeight="1">
      <c r="A51" s="7" t="s">
        <v>55</v>
      </c>
      <c r="B51" s="8" t="s">
        <v>26</v>
      </c>
      <c r="C51" s="9" t="s">
        <v>11</v>
      </c>
      <c r="D51" s="26"/>
      <c r="E51" s="27"/>
      <c r="F51" s="6">
        <v>13591</v>
      </c>
    </row>
    <row r="52" spans="1:6" ht="12.75" customHeight="1">
      <c r="A52" s="7" t="s">
        <v>56</v>
      </c>
      <c r="B52" s="8" t="s">
        <v>342</v>
      </c>
      <c r="C52" s="9" t="s">
        <v>11</v>
      </c>
      <c r="D52" s="26"/>
      <c r="E52" s="27"/>
      <c r="F52" s="6">
        <v>2150</v>
      </c>
    </row>
    <row r="53" spans="1:6" ht="12.75" customHeight="1">
      <c r="A53" s="7" t="s">
        <v>57</v>
      </c>
      <c r="B53" s="8" t="s">
        <v>39</v>
      </c>
      <c r="C53" s="9" t="s">
        <v>11</v>
      </c>
      <c r="D53" s="26"/>
      <c r="E53" s="27"/>
      <c r="F53" s="6">
        <v>975</v>
      </c>
    </row>
    <row r="54" spans="1:6" ht="12.75" customHeight="1">
      <c r="A54" s="7" t="s">
        <v>58</v>
      </c>
      <c r="B54" s="8" t="s">
        <v>59</v>
      </c>
      <c r="C54" s="5" t="s">
        <v>11</v>
      </c>
      <c r="D54" s="27"/>
      <c r="E54" s="27"/>
      <c r="F54" s="6">
        <f>SUM(F55,F61,F92,F121,F126)</f>
        <v>265626</v>
      </c>
    </row>
    <row r="55" spans="1:6" ht="12.75" customHeight="1">
      <c r="A55" s="7" t="s">
        <v>60</v>
      </c>
      <c r="B55" s="8" t="s">
        <v>61</v>
      </c>
      <c r="C55" s="9" t="s">
        <v>11</v>
      </c>
      <c r="D55" s="26"/>
      <c r="E55" s="27"/>
      <c r="F55" s="6">
        <f>SUM(F56:F60)</f>
        <v>3995</v>
      </c>
    </row>
    <row r="56" spans="1:6" ht="12.75" customHeight="1">
      <c r="A56" s="7" t="s">
        <v>738</v>
      </c>
      <c r="B56" s="8" t="s">
        <v>743</v>
      </c>
      <c r="C56" s="9" t="s">
        <v>11</v>
      </c>
      <c r="D56" s="26"/>
      <c r="E56" s="27"/>
      <c r="F56" s="6">
        <v>991</v>
      </c>
    </row>
    <row r="57" spans="1:6" ht="12.75" customHeight="1">
      <c r="A57" s="7" t="s">
        <v>739</v>
      </c>
      <c r="B57" s="8" t="s">
        <v>744</v>
      </c>
      <c r="C57" s="9" t="s">
        <v>11</v>
      </c>
      <c r="D57" s="26"/>
      <c r="E57" s="27"/>
      <c r="F57" s="6">
        <v>1500</v>
      </c>
    </row>
    <row r="58" spans="1:6" ht="12.75" customHeight="1">
      <c r="A58" s="7" t="s">
        <v>740</v>
      </c>
      <c r="B58" s="8" t="s">
        <v>745</v>
      </c>
      <c r="C58" s="9" t="s">
        <v>11</v>
      </c>
      <c r="D58" s="26"/>
      <c r="E58" s="27"/>
      <c r="F58" s="6">
        <v>275</v>
      </c>
    </row>
    <row r="59" spans="1:6" ht="12.75" customHeight="1">
      <c r="A59" s="7" t="s">
        <v>741</v>
      </c>
      <c r="B59" s="8" t="s">
        <v>746</v>
      </c>
      <c r="C59" s="9" t="s">
        <v>11</v>
      </c>
      <c r="D59" s="26"/>
      <c r="E59" s="27"/>
      <c r="F59" s="6">
        <v>249</v>
      </c>
    </row>
    <row r="60" spans="1:6" ht="12.75" customHeight="1">
      <c r="A60" s="7" t="s">
        <v>742</v>
      </c>
      <c r="B60" s="8" t="s">
        <v>747</v>
      </c>
      <c r="C60" s="9" t="s">
        <v>11</v>
      </c>
      <c r="D60" s="26"/>
      <c r="E60" s="27"/>
      <c r="F60" s="6">
        <v>980</v>
      </c>
    </row>
    <row r="61" spans="1:6" ht="12.75" customHeight="1">
      <c r="A61" s="7" t="s">
        <v>62</v>
      </c>
      <c r="B61" s="8" t="s">
        <v>63</v>
      </c>
      <c r="C61" s="9" t="s">
        <v>11</v>
      </c>
      <c r="D61" s="26"/>
      <c r="E61" s="27"/>
      <c r="F61" s="6">
        <f>SUM(F62:F82)-F72-F73-F74</f>
        <v>142471</v>
      </c>
    </row>
    <row r="62" spans="1:6" ht="12.75" customHeight="1">
      <c r="A62" s="7" t="s">
        <v>64</v>
      </c>
      <c r="B62" s="8" t="s">
        <v>65</v>
      </c>
      <c r="C62" s="9" t="s">
        <v>232</v>
      </c>
      <c r="D62" s="26">
        <v>10000</v>
      </c>
      <c r="E62" s="27">
        <v>1550</v>
      </c>
      <c r="F62" s="6">
        <f>D62*E62/1000</f>
        <v>15500</v>
      </c>
    </row>
    <row r="63" spans="1:6" ht="12.75" customHeight="1">
      <c r="A63" s="7" t="s">
        <v>343</v>
      </c>
      <c r="B63" s="8" t="s">
        <v>344</v>
      </c>
      <c r="C63" s="9" t="s">
        <v>87</v>
      </c>
      <c r="D63" s="76">
        <v>0.5</v>
      </c>
      <c r="E63" s="27">
        <v>8000000</v>
      </c>
      <c r="F63" s="6">
        <f>D63/100*E63</f>
        <v>40000</v>
      </c>
    </row>
    <row r="64" spans="1:6" ht="12.75" customHeight="1">
      <c r="A64" s="7" t="s">
        <v>345</v>
      </c>
      <c r="B64" s="8" t="s">
        <v>748</v>
      </c>
      <c r="C64" s="9" t="s">
        <v>749</v>
      </c>
      <c r="D64" s="26">
        <v>1</v>
      </c>
      <c r="E64" s="27"/>
      <c r="F64" s="6">
        <f>350000/1000</f>
        <v>350</v>
      </c>
    </row>
    <row r="65" spans="1:6" ht="12.75" customHeight="1">
      <c r="A65" s="7" t="s">
        <v>66</v>
      </c>
      <c r="B65" s="8" t="s">
        <v>750</v>
      </c>
      <c r="C65" s="9" t="s">
        <v>751</v>
      </c>
      <c r="D65" s="26">
        <v>4</v>
      </c>
      <c r="E65" s="27">
        <v>800000</v>
      </c>
      <c r="F65" s="131">
        <f>D65*E65/1000</f>
        <v>3200</v>
      </c>
    </row>
    <row r="66" spans="1:6" ht="12.75" customHeight="1">
      <c r="A66" s="7" t="s">
        <v>67</v>
      </c>
      <c r="B66" s="8" t="s">
        <v>68</v>
      </c>
      <c r="C66" s="9" t="s">
        <v>11</v>
      </c>
      <c r="D66" s="26"/>
      <c r="E66" s="27"/>
      <c r="F66" s="6">
        <v>9324</v>
      </c>
    </row>
    <row r="67" spans="1:6" ht="12.75" customHeight="1">
      <c r="A67" s="7" t="s">
        <v>752</v>
      </c>
      <c r="B67" s="8" t="s">
        <v>753</v>
      </c>
      <c r="C67" s="9" t="s">
        <v>751</v>
      </c>
      <c r="D67" s="26">
        <v>5</v>
      </c>
      <c r="E67" s="27">
        <v>500000</v>
      </c>
      <c r="F67" s="6">
        <f>D67*E67/1000</f>
        <v>2500</v>
      </c>
    </row>
    <row r="68" spans="1:6" ht="12.75" customHeight="1">
      <c r="A68" s="7" t="s">
        <v>756</v>
      </c>
      <c r="B68" s="8" t="s">
        <v>754</v>
      </c>
      <c r="C68" s="9" t="s">
        <v>751</v>
      </c>
      <c r="D68" s="26">
        <v>2</v>
      </c>
      <c r="E68" s="27">
        <v>750000</v>
      </c>
      <c r="F68" s="6">
        <f>D68*E68/1000</f>
        <v>1500</v>
      </c>
    </row>
    <row r="69" spans="1:6" ht="12.75" customHeight="1">
      <c r="A69" s="7" t="s">
        <v>757</v>
      </c>
      <c r="B69" s="8" t="s">
        <v>778</v>
      </c>
      <c r="C69" s="9" t="s">
        <v>751</v>
      </c>
      <c r="D69" s="26">
        <v>4</v>
      </c>
      <c r="E69" s="27">
        <v>187000</v>
      </c>
      <c r="F69" s="6">
        <f>D69*E69/1000</f>
        <v>748</v>
      </c>
    </row>
    <row r="70" spans="1:6" ht="12.75" customHeight="1">
      <c r="A70" s="7" t="s">
        <v>758</v>
      </c>
      <c r="B70" s="8" t="s">
        <v>761</v>
      </c>
      <c r="C70" s="9" t="s">
        <v>751</v>
      </c>
      <c r="D70" s="26">
        <v>4</v>
      </c>
      <c r="E70" s="27">
        <v>207000</v>
      </c>
      <c r="F70" s="6">
        <f>D70*E70/1000</f>
        <v>828</v>
      </c>
    </row>
    <row r="71" spans="1:6" ht="12.75" customHeight="1">
      <c r="A71" s="7" t="s">
        <v>759</v>
      </c>
      <c r="B71" s="8" t="s">
        <v>755</v>
      </c>
      <c r="C71" s="9" t="s">
        <v>11</v>
      </c>
      <c r="D71" s="26"/>
      <c r="E71" s="27"/>
      <c r="F71" s="6">
        <f>SUM(F72:F74)</f>
        <v>3148</v>
      </c>
    </row>
    <row r="72" spans="1:6" ht="12.75" customHeight="1">
      <c r="A72" s="7" t="s">
        <v>762</v>
      </c>
      <c r="B72" s="8" t="s">
        <v>765</v>
      </c>
      <c r="C72" s="9" t="s">
        <v>751</v>
      </c>
      <c r="D72" s="26">
        <v>4</v>
      </c>
      <c r="E72" s="27">
        <v>237000</v>
      </c>
      <c r="F72" s="6">
        <f>D72*E72/1000</f>
        <v>948</v>
      </c>
    </row>
    <row r="73" spans="1:6" ht="12.75" customHeight="1">
      <c r="A73" s="7" t="s">
        <v>763</v>
      </c>
      <c r="B73" s="8" t="s">
        <v>766</v>
      </c>
      <c r="C73" s="9" t="s">
        <v>751</v>
      </c>
      <c r="D73" s="26">
        <v>4</v>
      </c>
      <c r="E73" s="27">
        <v>150000</v>
      </c>
      <c r="F73" s="6">
        <f>D73*E73/1000</f>
        <v>600</v>
      </c>
    </row>
    <row r="74" spans="1:6" ht="12.75" customHeight="1">
      <c r="A74" s="7" t="s">
        <v>764</v>
      </c>
      <c r="B74" s="8" t="s">
        <v>767</v>
      </c>
      <c r="C74" s="9" t="s">
        <v>751</v>
      </c>
      <c r="D74" s="26">
        <v>4</v>
      </c>
      <c r="E74" s="27">
        <v>400000</v>
      </c>
      <c r="F74" s="6">
        <f>D74*E74/1000</f>
        <v>1600</v>
      </c>
    </row>
    <row r="75" spans="1:6" ht="12.75" customHeight="1">
      <c r="A75" s="7" t="s">
        <v>760</v>
      </c>
      <c r="B75" s="8" t="s">
        <v>768</v>
      </c>
      <c r="C75" s="9" t="s">
        <v>751</v>
      </c>
      <c r="D75" s="26">
        <v>4</v>
      </c>
      <c r="E75" s="27">
        <v>150000</v>
      </c>
      <c r="F75" s="6">
        <f>D75*E75/1000</f>
        <v>600</v>
      </c>
    </row>
    <row r="76" spans="1:6" ht="12.75" customHeight="1">
      <c r="A76" s="7" t="s">
        <v>772</v>
      </c>
      <c r="B76" s="8" t="s">
        <v>770</v>
      </c>
      <c r="C76" s="9" t="s">
        <v>751</v>
      </c>
      <c r="D76" s="26">
        <v>12</v>
      </c>
      <c r="E76" s="27">
        <v>1500000</v>
      </c>
      <c r="F76" s="6">
        <f>D76*E76/1000</f>
        <v>18000</v>
      </c>
    </row>
    <row r="77" spans="1:6" ht="12.75" customHeight="1">
      <c r="A77" s="7" t="s">
        <v>773</v>
      </c>
      <c r="B77" s="8" t="s">
        <v>769</v>
      </c>
      <c r="C77" s="9" t="s">
        <v>113</v>
      </c>
      <c r="D77" s="26">
        <v>1</v>
      </c>
      <c r="E77" s="27"/>
      <c r="F77" s="6">
        <v>13000</v>
      </c>
    </row>
    <row r="78" spans="1:6" ht="12.75" customHeight="1">
      <c r="A78" s="7" t="s">
        <v>774</v>
      </c>
      <c r="B78" s="8" t="s">
        <v>771</v>
      </c>
      <c r="C78" s="9" t="s">
        <v>775</v>
      </c>
      <c r="D78" s="26">
        <v>5</v>
      </c>
      <c r="E78" s="27">
        <v>270000</v>
      </c>
      <c r="F78" s="6">
        <f>D78*E78/1000</f>
        <v>1350</v>
      </c>
    </row>
    <row r="79" spans="1:6" ht="12.75" customHeight="1">
      <c r="A79" s="7" t="s">
        <v>69</v>
      </c>
      <c r="B79" s="8" t="s">
        <v>776</v>
      </c>
      <c r="C79" s="9" t="s">
        <v>777</v>
      </c>
      <c r="D79" s="26">
        <v>114</v>
      </c>
      <c r="E79" s="27">
        <v>80000</v>
      </c>
      <c r="F79" s="6">
        <f>D79*E79/1000</f>
        <v>9120</v>
      </c>
    </row>
    <row r="80" spans="1:6" ht="12.75" customHeight="1">
      <c r="A80" s="7" t="s">
        <v>779</v>
      </c>
      <c r="B80" s="8" t="s">
        <v>780</v>
      </c>
      <c r="C80" s="9" t="s">
        <v>777</v>
      </c>
      <c r="D80" s="26">
        <v>38</v>
      </c>
      <c r="E80" s="27">
        <v>150000</v>
      </c>
      <c r="F80" s="6">
        <f>D80*E80/1000</f>
        <v>5700</v>
      </c>
    </row>
    <row r="81" spans="1:6" ht="12.75" customHeight="1">
      <c r="A81" s="7" t="s">
        <v>70</v>
      </c>
      <c r="B81" s="8" t="s">
        <v>781</v>
      </c>
      <c r="C81" s="9" t="s">
        <v>751</v>
      </c>
      <c r="D81" s="26">
        <v>8</v>
      </c>
      <c r="E81" s="27">
        <v>1250000</v>
      </c>
      <c r="F81" s="6">
        <f>D81*E81/1000</f>
        <v>10000</v>
      </c>
    </row>
    <row r="82" spans="1:6" ht="12.75" customHeight="1">
      <c r="A82" s="7" t="s">
        <v>71</v>
      </c>
      <c r="B82" s="8" t="s">
        <v>328</v>
      </c>
      <c r="C82" s="9" t="s">
        <v>11</v>
      </c>
      <c r="D82" s="26"/>
      <c r="E82" s="27"/>
      <c r="F82" s="6">
        <f>SUM(F83:F91)</f>
        <v>7603</v>
      </c>
    </row>
    <row r="83" spans="1:6" ht="12.75" customHeight="1">
      <c r="A83" s="7" t="s">
        <v>782</v>
      </c>
      <c r="B83" s="8" t="s">
        <v>783</v>
      </c>
      <c r="C83" s="9" t="s">
        <v>751</v>
      </c>
      <c r="D83" s="26">
        <v>10</v>
      </c>
      <c r="E83" s="27">
        <v>125000</v>
      </c>
      <c r="F83" s="6">
        <f aca="true" t="shared" si="1" ref="F83:F91">D83*E83/1000</f>
        <v>1250</v>
      </c>
    </row>
    <row r="84" spans="1:6" ht="12.75" customHeight="1">
      <c r="A84" s="7" t="s">
        <v>784</v>
      </c>
      <c r="B84" s="8" t="s">
        <v>792</v>
      </c>
      <c r="C84" s="9" t="s">
        <v>113</v>
      </c>
      <c r="D84" s="26">
        <v>4</v>
      </c>
      <c r="E84" s="27">
        <v>111500</v>
      </c>
      <c r="F84" s="6">
        <f t="shared" si="1"/>
        <v>446</v>
      </c>
    </row>
    <row r="85" spans="1:6" ht="12.75" customHeight="1">
      <c r="A85" s="7" t="s">
        <v>785</v>
      </c>
      <c r="B85" s="8" t="s">
        <v>786</v>
      </c>
      <c r="C85" s="9" t="s">
        <v>751</v>
      </c>
      <c r="D85" s="26">
        <v>10</v>
      </c>
      <c r="E85" s="27">
        <v>75000</v>
      </c>
      <c r="F85" s="6">
        <f t="shared" si="1"/>
        <v>750</v>
      </c>
    </row>
    <row r="86" spans="1:6" ht="12.75" customHeight="1">
      <c r="A86" s="7" t="s">
        <v>793</v>
      </c>
      <c r="B86" s="8" t="s">
        <v>791</v>
      </c>
      <c r="C86" s="9" t="s">
        <v>113</v>
      </c>
      <c r="D86" s="26">
        <v>3</v>
      </c>
      <c r="E86" s="27">
        <v>186000</v>
      </c>
      <c r="F86" s="6">
        <f t="shared" si="1"/>
        <v>558</v>
      </c>
    </row>
    <row r="87" spans="1:6" ht="12.75" customHeight="1">
      <c r="A87" s="7" t="s">
        <v>794</v>
      </c>
      <c r="B87" s="8" t="s">
        <v>787</v>
      </c>
      <c r="C87" s="9" t="s">
        <v>751</v>
      </c>
      <c r="D87" s="26">
        <v>6</v>
      </c>
      <c r="E87" s="27">
        <v>370000</v>
      </c>
      <c r="F87" s="6">
        <f t="shared" si="1"/>
        <v>2220</v>
      </c>
    </row>
    <row r="88" spans="1:6" ht="12.75" customHeight="1">
      <c r="A88" s="7" t="s">
        <v>795</v>
      </c>
      <c r="B88" s="8" t="s">
        <v>788</v>
      </c>
      <c r="C88" s="9" t="s">
        <v>751</v>
      </c>
      <c r="D88" s="26">
        <v>7</v>
      </c>
      <c r="E88" s="27">
        <v>25000</v>
      </c>
      <c r="F88" s="6">
        <f t="shared" si="1"/>
        <v>175</v>
      </c>
    </row>
    <row r="89" spans="1:6" ht="12.75" customHeight="1">
      <c r="A89" s="7" t="s">
        <v>796</v>
      </c>
      <c r="B89" s="8" t="s">
        <v>789</v>
      </c>
      <c r="C89" s="9" t="s">
        <v>751</v>
      </c>
      <c r="D89" s="26">
        <v>4</v>
      </c>
      <c r="E89" s="27">
        <v>50000</v>
      </c>
      <c r="F89" s="6">
        <f t="shared" si="1"/>
        <v>200</v>
      </c>
    </row>
    <row r="90" spans="1:6" ht="12.75" customHeight="1">
      <c r="A90" s="7" t="s">
        <v>797</v>
      </c>
      <c r="B90" s="8" t="s">
        <v>790</v>
      </c>
      <c r="C90" s="9" t="s">
        <v>777</v>
      </c>
      <c r="D90" s="26">
        <v>192</v>
      </c>
      <c r="E90" s="27">
        <v>7000</v>
      </c>
      <c r="F90" s="6">
        <f t="shared" si="1"/>
        <v>1344</v>
      </c>
    </row>
    <row r="91" spans="1:6" ht="12.75" customHeight="1">
      <c r="A91" s="7" t="s">
        <v>798</v>
      </c>
      <c r="B91" s="8" t="s">
        <v>792</v>
      </c>
      <c r="C91" s="9" t="s">
        <v>113</v>
      </c>
      <c r="D91" s="26">
        <v>4</v>
      </c>
      <c r="E91" s="27">
        <v>165000</v>
      </c>
      <c r="F91" s="6">
        <f t="shared" si="1"/>
        <v>660</v>
      </c>
    </row>
    <row r="92" spans="1:6" ht="12.75" customHeight="1">
      <c r="A92" s="7" t="s">
        <v>72</v>
      </c>
      <c r="B92" s="8" t="s">
        <v>73</v>
      </c>
      <c r="C92" s="9" t="s">
        <v>11</v>
      </c>
      <c r="D92" s="26"/>
      <c r="E92" s="27"/>
      <c r="F92" s="6">
        <f>SUM(F93:F98)+F102+F105+F109+F120</f>
        <v>93810</v>
      </c>
    </row>
    <row r="93" spans="1:6" ht="12.75" customHeight="1">
      <c r="A93" s="7" t="s">
        <v>74</v>
      </c>
      <c r="B93" s="8" t="s">
        <v>346</v>
      </c>
      <c r="C93" s="9" t="s">
        <v>751</v>
      </c>
      <c r="D93" s="26">
        <v>5</v>
      </c>
      <c r="E93" s="27">
        <v>500000</v>
      </c>
      <c r="F93" s="6">
        <f>D93*E93/1000</f>
        <v>2500</v>
      </c>
    </row>
    <row r="94" spans="1:6" ht="12.75" customHeight="1">
      <c r="A94" s="7" t="s">
        <v>75</v>
      </c>
      <c r="B94" s="8" t="s">
        <v>799</v>
      </c>
      <c r="C94" s="9" t="s">
        <v>751</v>
      </c>
      <c r="D94" s="26">
        <v>12</v>
      </c>
      <c r="E94" s="27">
        <v>1100000</v>
      </c>
      <c r="F94" s="6">
        <f>D94*E94/1000</f>
        <v>13200</v>
      </c>
    </row>
    <row r="95" spans="1:6" ht="12.75" customHeight="1">
      <c r="A95" s="7" t="s">
        <v>800</v>
      </c>
      <c r="B95" s="8" t="s">
        <v>801</v>
      </c>
      <c r="C95" s="9" t="s">
        <v>751</v>
      </c>
      <c r="D95" s="26">
        <v>5</v>
      </c>
      <c r="E95" s="27">
        <v>780000</v>
      </c>
      <c r="F95" s="6">
        <f>D95*E95/1000</f>
        <v>3900</v>
      </c>
    </row>
    <row r="96" spans="1:6" ht="12.75" customHeight="1">
      <c r="A96" s="7" t="s">
        <v>76</v>
      </c>
      <c r="B96" s="8" t="s">
        <v>347</v>
      </c>
      <c r="C96" s="9" t="s">
        <v>11</v>
      </c>
      <c r="D96" s="26"/>
      <c r="E96" s="27"/>
      <c r="F96" s="6"/>
    </row>
    <row r="97" spans="1:6" ht="12.75" customHeight="1">
      <c r="A97" s="7" t="s">
        <v>77</v>
      </c>
      <c r="B97" s="8" t="s">
        <v>348</v>
      </c>
      <c r="C97" s="9" t="s">
        <v>751</v>
      </c>
      <c r="D97" s="26">
        <v>5</v>
      </c>
      <c r="E97" s="27">
        <v>780000</v>
      </c>
      <c r="F97" s="6">
        <f>D97*E97/1000</f>
        <v>3900</v>
      </c>
    </row>
    <row r="98" spans="1:6" ht="12.75" customHeight="1">
      <c r="A98" s="7" t="s">
        <v>78</v>
      </c>
      <c r="B98" s="8" t="s">
        <v>802</v>
      </c>
      <c r="C98" s="9" t="s">
        <v>11</v>
      </c>
      <c r="D98" s="26"/>
      <c r="E98" s="27"/>
      <c r="F98" s="6">
        <f>SUM(F99:F101)</f>
        <v>23000</v>
      </c>
    </row>
    <row r="99" spans="1:6" ht="12.75" customHeight="1">
      <c r="A99" s="7" t="s">
        <v>808</v>
      </c>
      <c r="B99" s="8" t="s">
        <v>803</v>
      </c>
      <c r="C99" s="9" t="s">
        <v>804</v>
      </c>
      <c r="D99" s="26">
        <v>750</v>
      </c>
      <c r="E99" s="27">
        <v>14000</v>
      </c>
      <c r="F99" s="6">
        <f>D99*E99/1000</f>
        <v>10500</v>
      </c>
    </row>
    <row r="100" spans="1:6" ht="12.75" customHeight="1">
      <c r="A100" s="7" t="s">
        <v>809</v>
      </c>
      <c r="B100" s="8" t="s">
        <v>958</v>
      </c>
      <c r="C100" s="9" t="s">
        <v>804</v>
      </c>
      <c r="D100" s="26">
        <v>750</v>
      </c>
      <c r="E100" s="27">
        <v>10000</v>
      </c>
      <c r="F100" s="6">
        <f>D100*E100/1000</f>
        <v>7500</v>
      </c>
    </row>
    <row r="101" spans="1:6" ht="12.75" customHeight="1">
      <c r="A101" s="7" t="s">
        <v>810</v>
      </c>
      <c r="B101" s="8" t="s">
        <v>805</v>
      </c>
      <c r="C101" s="9" t="s">
        <v>806</v>
      </c>
      <c r="D101" s="26"/>
      <c r="E101" s="27"/>
      <c r="F101" s="6">
        <v>5000</v>
      </c>
    </row>
    <row r="102" spans="1:6" ht="12.75" customHeight="1">
      <c r="A102" s="7" t="s">
        <v>807</v>
      </c>
      <c r="B102" s="8" t="s">
        <v>812</v>
      </c>
      <c r="C102" s="9" t="s">
        <v>11</v>
      </c>
      <c r="D102" s="26"/>
      <c r="E102" s="27"/>
      <c r="F102" s="6">
        <f>SUM(F103:F104)</f>
        <v>1710</v>
      </c>
    </row>
    <row r="103" spans="1:6" ht="12.75" customHeight="1">
      <c r="A103" s="7" t="s">
        <v>811</v>
      </c>
      <c r="B103" s="8" t="s">
        <v>813</v>
      </c>
      <c r="C103" s="9" t="s">
        <v>751</v>
      </c>
      <c r="D103" s="26">
        <v>10</v>
      </c>
      <c r="E103" s="27">
        <v>96000</v>
      </c>
      <c r="F103" s="6">
        <f>D103*E103/1000</f>
        <v>960</v>
      </c>
    </row>
    <row r="104" spans="1:6" ht="12.75" customHeight="1">
      <c r="A104" s="7" t="s">
        <v>814</v>
      </c>
      <c r="B104" s="8" t="s">
        <v>815</v>
      </c>
      <c r="C104" s="9" t="s">
        <v>751</v>
      </c>
      <c r="D104" s="26">
        <v>5</v>
      </c>
      <c r="E104" s="27">
        <v>150000</v>
      </c>
      <c r="F104" s="6">
        <f>D104*E104/1000</f>
        <v>750</v>
      </c>
    </row>
    <row r="105" spans="1:6" ht="12.75" customHeight="1">
      <c r="A105" s="7" t="s">
        <v>816</v>
      </c>
      <c r="B105" s="8" t="s">
        <v>817</v>
      </c>
      <c r="C105" s="9" t="s">
        <v>11</v>
      </c>
      <c r="D105" s="26"/>
      <c r="E105" s="27"/>
      <c r="F105" s="6">
        <f>SUM(F106:F108)</f>
        <v>5100</v>
      </c>
    </row>
    <row r="106" spans="1:6" ht="12.75" customHeight="1">
      <c r="A106" s="7" t="s">
        <v>823</v>
      </c>
      <c r="B106" s="8" t="s">
        <v>818</v>
      </c>
      <c r="C106" s="9" t="s">
        <v>821</v>
      </c>
      <c r="D106" s="26">
        <v>100</v>
      </c>
      <c r="E106" s="27">
        <v>40000</v>
      </c>
      <c r="F106" s="6">
        <f>D106*E106/1000</f>
        <v>4000</v>
      </c>
    </row>
    <row r="107" spans="1:6" ht="12.75" customHeight="1">
      <c r="A107" s="7" t="s">
        <v>824</v>
      </c>
      <c r="B107" s="8" t="s">
        <v>819</v>
      </c>
      <c r="C107" s="9" t="s">
        <v>113</v>
      </c>
      <c r="D107" s="26">
        <v>20</v>
      </c>
      <c r="E107" s="27">
        <v>30000</v>
      </c>
      <c r="F107" s="6">
        <f>D107*E107/1000</f>
        <v>600</v>
      </c>
    </row>
    <row r="108" spans="1:6" ht="12.75" customHeight="1">
      <c r="A108" s="7" t="s">
        <v>825</v>
      </c>
      <c r="B108" s="8" t="s">
        <v>820</v>
      </c>
      <c r="C108" s="9" t="s">
        <v>113</v>
      </c>
      <c r="D108" s="26">
        <v>5</v>
      </c>
      <c r="E108" s="27">
        <v>100000</v>
      </c>
      <c r="F108" s="6">
        <f>D108*E108/1000</f>
        <v>500</v>
      </c>
    </row>
    <row r="109" spans="1:6" ht="12.75" customHeight="1">
      <c r="A109" s="7" t="s">
        <v>822</v>
      </c>
      <c r="B109" s="8" t="s">
        <v>826</v>
      </c>
      <c r="C109" s="9" t="s">
        <v>11</v>
      </c>
      <c r="D109" s="26"/>
      <c r="E109" s="27"/>
      <c r="F109" s="6">
        <f>SUM(F110:F119)</f>
        <v>40000</v>
      </c>
    </row>
    <row r="110" spans="1:6" ht="12.75" customHeight="1">
      <c r="A110" s="7" t="s">
        <v>838</v>
      </c>
      <c r="B110" s="8" t="s">
        <v>827</v>
      </c>
      <c r="C110" s="9" t="s">
        <v>806</v>
      </c>
      <c r="D110" s="26"/>
      <c r="E110" s="27"/>
      <c r="F110" s="6">
        <v>7000</v>
      </c>
    </row>
    <row r="111" spans="1:6" ht="12.75" customHeight="1">
      <c r="A111" s="7" t="s">
        <v>839</v>
      </c>
      <c r="B111" s="8" t="s">
        <v>828</v>
      </c>
      <c r="C111" s="9" t="s">
        <v>806</v>
      </c>
      <c r="D111" s="26"/>
      <c r="E111" s="27"/>
      <c r="F111" s="6">
        <v>5000</v>
      </c>
    </row>
    <row r="112" spans="1:6" ht="12.75" customHeight="1">
      <c r="A112" s="7" t="s">
        <v>840</v>
      </c>
      <c r="B112" s="8" t="s">
        <v>829</v>
      </c>
      <c r="C112" s="9" t="s">
        <v>806</v>
      </c>
      <c r="D112" s="26"/>
      <c r="E112" s="27"/>
      <c r="F112" s="6">
        <v>5000</v>
      </c>
    </row>
    <row r="113" spans="1:6" ht="12.75" customHeight="1">
      <c r="A113" s="7" t="s">
        <v>841</v>
      </c>
      <c r="B113" s="8" t="s">
        <v>830</v>
      </c>
      <c r="C113" s="9" t="s">
        <v>806</v>
      </c>
      <c r="D113" s="26"/>
      <c r="E113" s="27"/>
      <c r="F113" s="6">
        <v>4000</v>
      </c>
    </row>
    <row r="114" spans="1:6" ht="12.75" customHeight="1">
      <c r="A114" s="7" t="s">
        <v>842</v>
      </c>
      <c r="B114" s="8" t="s">
        <v>831</v>
      </c>
      <c r="C114" s="9" t="s">
        <v>806</v>
      </c>
      <c r="D114" s="26"/>
      <c r="E114" s="27"/>
      <c r="F114" s="6">
        <v>4000</v>
      </c>
    </row>
    <row r="115" spans="1:6" ht="12.75" customHeight="1">
      <c r="A115" s="7" t="s">
        <v>843</v>
      </c>
      <c r="B115" s="8" t="s">
        <v>832</v>
      </c>
      <c r="C115" s="9" t="s">
        <v>806</v>
      </c>
      <c r="D115" s="26"/>
      <c r="E115" s="27"/>
      <c r="F115" s="6">
        <v>4000</v>
      </c>
    </row>
    <row r="116" spans="1:6" ht="12.75" customHeight="1">
      <c r="A116" s="7" t="s">
        <v>844</v>
      </c>
      <c r="B116" s="8" t="s">
        <v>833</v>
      </c>
      <c r="C116" s="9" t="s">
        <v>806</v>
      </c>
      <c r="D116" s="26"/>
      <c r="E116" s="27"/>
      <c r="F116" s="6">
        <v>3000</v>
      </c>
    </row>
    <row r="117" spans="1:6" ht="12.75" customHeight="1">
      <c r="A117" s="7" t="s">
        <v>845</v>
      </c>
      <c r="B117" s="8" t="s">
        <v>834</v>
      </c>
      <c r="C117" s="9" t="s">
        <v>806</v>
      </c>
      <c r="D117" s="26"/>
      <c r="E117" s="27"/>
      <c r="F117" s="6">
        <v>3000</v>
      </c>
    </row>
    <row r="118" spans="1:6" ht="12.75" customHeight="1">
      <c r="A118" s="7" t="s">
        <v>846</v>
      </c>
      <c r="B118" s="8" t="s">
        <v>835</v>
      </c>
      <c r="C118" s="9" t="s">
        <v>806</v>
      </c>
      <c r="D118" s="26"/>
      <c r="E118" s="27"/>
      <c r="F118" s="6">
        <v>2000</v>
      </c>
    </row>
    <row r="119" spans="1:6" ht="12.75" customHeight="1">
      <c r="A119" s="7" t="s">
        <v>847</v>
      </c>
      <c r="B119" s="8" t="s">
        <v>836</v>
      </c>
      <c r="C119" s="9" t="s">
        <v>806</v>
      </c>
      <c r="D119" s="26"/>
      <c r="E119" s="27"/>
      <c r="F119" s="6">
        <v>3000</v>
      </c>
    </row>
    <row r="120" spans="1:6" ht="12.75" customHeight="1">
      <c r="A120" s="7" t="s">
        <v>79</v>
      </c>
      <c r="B120" s="8" t="s">
        <v>837</v>
      </c>
      <c r="C120" s="9" t="s">
        <v>11</v>
      </c>
      <c r="D120" s="26"/>
      <c r="E120" s="27"/>
      <c r="F120" s="6">
        <v>500</v>
      </c>
    </row>
    <row r="121" spans="1:6" ht="12.75" customHeight="1">
      <c r="A121" s="7" t="s">
        <v>80</v>
      </c>
      <c r="B121" s="8" t="s">
        <v>81</v>
      </c>
      <c r="C121" s="9" t="s">
        <v>11</v>
      </c>
      <c r="D121" s="26"/>
      <c r="E121" s="27"/>
      <c r="F121" s="6">
        <f>SUM(F122:F125)</f>
        <v>25350</v>
      </c>
    </row>
    <row r="122" spans="1:6" ht="12.75" customHeight="1">
      <c r="A122" s="7" t="s">
        <v>349</v>
      </c>
      <c r="B122" s="8" t="s">
        <v>350</v>
      </c>
      <c r="C122" s="9" t="s">
        <v>11</v>
      </c>
      <c r="D122" s="26"/>
      <c r="E122" s="27"/>
      <c r="F122" s="6">
        <v>2000</v>
      </c>
    </row>
    <row r="123" spans="1:6" ht="12.75" customHeight="1">
      <c r="A123" s="7" t="s">
        <v>351</v>
      </c>
      <c r="B123" s="8" t="s">
        <v>352</v>
      </c>
      <c r="C123" s="9" t="s">
        <v>751</v>
      </c>
      <c r="D123" s="26">
        <v>10</v>
      </c>
      <c r="E123" s="27">
        <v>2100000</v>
      </c>
      <c r="F123" s="6">
        <f>D123*E123/1000</f>
        <v>21000</v>
      </c>
    </row>
    <row r="124" spans="1:6" ht="12.75" customHeight="1">
      <c r="A124" s="7" t="s">
        <v>82</v>
      </c>
      <c r="B124" s="8" t="s">
        <v>83</v>
      </c>
      <c r="C124" s="9" t="s">
        <v>11</v>
      </c>
      <c r="D124" s="26"/>
      <c r="E124" s="27"/>
      <c r="F124" s="6">
        <v>1200</v>
      </c>
    </row>
    <row r="125" spans="1:6" ht="12.75" customHeight="1">
      <c r="A125" s="7" t="s">
        <v>84</v>
      </c>
      <c r="B125" s="8" t="s">
        <v>328</v>
      </c>
      <c r="C125" s="9" t="s">
        <v>11</v>
      </c>
      <c r="D125" s="26"/>
      <c r="E125" s="27"/>
      <c r="F125" s="6">
        <v>1150</v>
      </c>
    </row>
    <row r="126" spans="1:6" ht="12.75" customHeight="1">
      <c r="A126" s="7" t="s">
        <v>85</v>
      </c>
      <c r="B126" s="8" t="s">
        <v>39</v>
      </c>
      <c r="C126" s="9" t="s">
        <v>11</v>
      </c>
      <c r="D126" s="26"/>
      <c r="E126" s="27"/>
      <c r="F126" s="6"/>
    </row>
    <row r="127" spans="1:6" ht="12.75" customHeight="1">
      <c r="A127" s="7" t="s">
        <v>86</v>
      </c>
      <c r="B127" s="8" t="s">
        <v>439</v>
      </c>
      <c r="C127" s="5" t="s">
        <v>11</v>
      </c>
      <c r="D127" s="27"/>
      <c r="E127" s="27"/>
      <c r="F127" s="6">
        <v>22219</v>
      </c>
    </row>
    <row r="128" spans="1:6" ht="12.75" customHeight="1">
      <c r="A128" s="3"/>
      <c r="B128" s="4"/>
      <c r="C128" s="5"/>
      <c r="D128" s="27"/>
      <c r="E128" s="27"/>
      <c r="F128" s="6"/>
    </row>
    <row r="129" spans="1:6" ht="12.75" customHeight="1">
      <c r="A129" s="7" t="s">
        <v>88</v>
      </c>
      <c r="B129" s="8" t="s">
        <v>89</v>
      </c>
      <c r="C129" s="5" t="s">
        <v>11</v>
      </c>
      <c r="D129" s="27"/>
      <c r="E129" s="27"/>
      <c r="F129" s="6">
        <f>SUM(F130:F131,F162:F163)</f>
        <v>1109310.9481584325</v>
      </c>
    </row>
    <row r="130" spans="1:6" ht="12.75" customHeight="1">
      <c r="A130" s="7" t="s">
        <v>90</v>
      </c>
      <c r="B130" s="8" t="s">
        <v>91</v>
      </c>
      <c r="C130" s="5" t="s">
        <v>11</v>
      </c>
      <c r="D130" s="5"/>
      <c r="E130" s="5"/>
      <c r="F130" s="6"/>
    </row>
    <row r="131" spans="1:6" ht="12.75" customHeight="1">
      <c r="A131" s="7" t="s">
        <v>92</v>
      </c>
      <c r="B131" s="8" t="s">
        <v>416</v>
      </c>
      <c r="C131" s="5" t="s">
        <v>11</v>
      </c>
      <c r="D131" s="5"/>
      <c r="E131" s="5"/>
      <c r="F131" s="6">
        <f>SUM(F132,F136,F140,F145,F150,F155,F160,F161,)</f>
        <v>1051588.4528865025</v>
      </c>
    </row>
    <row r="132" spans="1:6" ht="12.75" customHeight="1">
      <c r="A132" s="7" t="s">
        <v>93</v>
      </c>
      <c r="B132" s="8" t="s">
        <v>94</v>
      </c>
      <c r="C132" s="9" t="s">
        <v>11</v>
      </c>
      <c r="D132" s="26"/>
      <c r="E132" s="27"/>
      <c r="F132" s="6">
        <f>SUM(F133:F135)</f>
        <v>64723.563075000005</v>
      </c>
    </row>
    <row r="133" spans="1:6" ht="12.75" customHeight="1">
      <c r="A133" s="7" t="s">
        <v>95</v>
      </c>
      <c r="B133" s="8" t="s">
        <v>96</v>
      </c>
      <c r="C133" s="9" t="s">
        <v>97</v>
      </c>
      <c r="D133" s="26">
        <v>240390</v>
      </c>
      <c r="E133" s="55">
        <v>9.24</v>
      </c>
      <c r="F133" s="6">
        <f>(D133*E133)/1000</f>
        <v>2221.2036000000003</v>
      </c>
    </row>
    <row r="134" spans="1:6" ht="12.75" customHeight="1">
      <c r="A134" s="7" t="s">
        <v>98</v>
      </c>
      <c r="B134" s="8" t="s">
        <v>326</v>
      </c>
      <c r="C134" s="9" t="s">
        <v>97</v>
      </c>
      <c r="D134" s="26">
        <f>2722430-D135</f>
        <v>2415402.5</v>
      </c>
      <c r="E134" s="55">
        <v>21.87</v>
      </c>
      <c r="F134" s="6">
        <f>(D134*E134)/1000</f>
        <v>52824.852675</v>
      </c>
    </row>
    <row r="135" spans="1:6" ht="12.75" customHeight="1">
      <c r="A135" s="7" t="s">
        <v>514</v>
      </c>
      <c r="B135" s="8" t="s">
        <v>515</v>
      </c>
      <c r="C135" s="9" t="s">
        <v>97</v>
      </c>
      <c r="D135" s="26">
        <v>307027.5</v>
      </c>
      <c r="E135" s="55">
        <v>31.52</v>
      </c>
      <c r="F135" s="6">
        <f>(D135*E135)/1000</f>
        <v>9677.506800000001</v>
      </c>
    </row>
    <row r="136" spans="1:6" ht="12.75" customHeight="1">
      <c r="A136" s="7" t="s">
        <v>99</v>
      </c>
      <c r="B136" s="8" t="s">
        <v>100</v>
      </c>
      <c r="C136" s="9" t="s">
        <v>11</v>
      </c>
      <c r="D136" s="26"/>
      <c r="E136" s="55"/>
      <c r="F136" s="6">
        <f>F137+F139+F138</f>
        <v>11530.1315646</v>
      </c>
    </row>
    <row r="137" spans="1:6" ht="12.75" customHeight="1">
      <c r="A137" s="7" t="s">
        <v>517</v>
      </c>
      <c r="B137" s="8" t="s">
        <v>973</v>
      </c>
      <c r="C137" s="9" t="s">
        <v>123</v>
      </c>
      <c r="D137" s="26">
        <v>57665</v>
      </c>
      <c r="E137" s="55">
        <v>46.71</v>
      </c>
      <c r="F137" s="6">
        <f>(D137*E137)/1000</f>
        <v>2693.53215</v>
      </c>
    </row>
    <row r="138" spans="1:6" ht="12.75" customHeight="1">
      <c r="A138" s="7" t="s">
        <v>518</v>
      </c>
      <c r="B138" s="8" t="s">
        <v>928</v>
      </c>
      <c r="C138" s="9" t="s">
        <v>102</v>
      </c>
      <c r="D138" s="26">
        <v>5919.98</v>
      </c>
      <c r="E138" s="55">
        <v>791.71</v>
      </c>
      <c r="F138" s="6">
        <f>(D138*E138)/1000</f>
        <v>4686.9073658</v>
      </c>
    </row>
    <row r="139" spans="1:6" ht="12.75" customHeight="1">
      <c r="A139" s="7" t="s">
        <v>929</v>
      </c>
      <c r="B139" s="8" t="s">
        <v>972</v>
      </c>
      <c r="C139" s="9" t="s">
        <v>97</v>
      </c>
      <c r="D139" s="26">
        <v>21925.88</v>
      </c>
      <c r="E139" s="55">
        <v>189.26</v>
      </c>
      <c r="F139" s="6">
        <f>(D139*E139)/1000</f>
        <v>4149.6920488</v>
      </c>
    </row>
    <row r="140" spans="1:6" ht="12.75" customHeight="1">
      <c r="A140" s="7" t="s">
        <v>412</v>
      </c>
      <c r="B140" s="8" t="s">
        <v>470</v>
      </c>
      <c r="C140" s="9" t="s">
        <v>11</v>
      </c>
      <c r="D140" s="26"/>
      <c r="E140" s="55"/>
      <c r="F140" s="6">
        <f>F141</f>
        <v>810625.483932</v>
      </c>
    </row>
    <row r="141" spans="1:6" ht="12.75" customHeight="1">
      <c r="A141" s="7" t="s">
        <v>408</v>
      </c>
      <c r="B141" s="8" t="s">
        <v>413</v>
      </c>
      <c r="C141" s="9" t="s">
        <v>11</v>
      </c>
      <c r="D141" s="26"/>
      <c r="E141" s="27"/>
      <c r="F141" s="6">
        <f>SUM(F142:F144)</f>
        <v>810625.483932</v>
      </c>
    </row>
    <row r="142" spans="1:6" ht="12.75" customHeight="1">
      <c r="A142" s="7" t="s">
        <v>409</v>
      </c>
      <c r="B142" s="8" t="s">
        <v>930</v>
      </c>
      <c r="C142" s="9" t="s">
        <v>102</v>
      </c>
      <c r="D142" s="26">
        <f>0.27*D143</f>
        <v>231541.2</v>
      </c>
      <c r="E142" s="55">
        <v>791.71</v>
      </c>
      <c r="F142" s="6">
        <f>(D142*E142)/1000</f>
        <v>183313.48345200001</v>
      </c>
    </row>
    <row r="143" spans="1:6" ht="12.75" customHeight="1">
      <c r="A143" s="7" t="s">
        <v>410</v>
      </c>
      <c r="B143" s="8" t="s">
        <v>414</v>
      </c>
      <c r="C143" s="9" t="s">
        <v>97</v>
      </c>
      <c r="D143" s="26">
        <v>857560</v>
      </c>
      <c r="E143" s="55">
        <v>258.27</v>
      </c>
      <c r="F143" s="6">
        <f>(D143*E143)/1000</f>
        <v>221482.0212</v>
      </c>
    </row>
    <row r="144" spans="1:6" ht="12.75" customHeight="1">
      <c r="A144" s="7" t="s">
        <v>411</v>
      </c>
      <c r="B144" s="8" t="s">
        <v>415</v>
      </c>
      <c r="C144" s="9" t="s">
        <v>102</v>
      </c>
      <c r="D144" s="26">
        <f>0.06*D143</f>
        <v>51453.6</v>
      </c>
      <c r="E144" s="55">
        <v>7887.3</v>
      </c>
      <c r="F144" s="6">
        <f>(D144*E144)/1000</f>
        <v>405829.97927999997</v>
      </c>
    </row>
    <row r="145" spans="1:6" ht="12.75" customHeight="1">
      <c r="A145" s="7" t="s">
        <v>471</v>
      </c>
      <c r="B145" s="8" t="s">
        <v>483</v>
      </c>
      <c r="C145" s="9" t="s">
        <v>11</v>
      </c>
      <c r="D145" s="26"/>
      <c r="E145" s="55"/>
      <c r="F145" s="6">
        <f>F146</f>
        <v>71840.49720000001</v>
      </c>
    </row>
    <row r="146" spans="1:6" ht="12.75" customHeight="1">
      <c r="A146" s="7" t="s">
        <v>472</v>
      </c>
      <c r="B146" s="8" t="s">
        <v>413</v>
      </c>
      <c r="C146" s="9" t="s">
        <v>11</v>
      </c>
      <c r="D146" s="26"/>
      <c r="E146" s="27"/>
      <c r="F146" s="6">
        <f>SUM(F147:F149)</f>
        <v>71840.49720000001</v>
      </c>
    </row>
    <row r="147" spans="1:6" ht="12.75" customHeight="1">
      <c r="A147" s="7" t="s">
        <v>473</v>
      </c>
      <c r="B147" s="8" t="s">
        <v>930</v>
      </c>
      <c r="C147" s="9" t="s">
        <v>102</v>
      </c>
      <c r="D147" s="26">
        <f>0.27*D148</f>
        <v>20520</v>
      </c>
      <c r="E147" s="55">
        <v>791.71</v>
      </c>
      <c r="F147" s="6">
        <f>(D147*E147)/1000</f>
        <v>16245.889200000001</v>
      </c>
    </row>
    <row r="148" spans="1:6" ht="12.75" customHeight="1">
      <c r="A148" s="7" t="s">
        <v>474</v>
      </c>
      <c r="B148" s="8" t="s">
        <v>414</v>
      </c>
      <c r="C148" s="9" t="s">
        <v>97</v>
      </c>
      <c r="D148" s="26">
        <v>76000</v>
      </c>
      <c r="E148" s="55">
        <v>258.27</v>
      </c>
      <c r="F148" s="6">
        <f>(D148*E148)/1000</f>
        <v>19628.52</v>
      </c>
    </row>
    <row r="149" spans="1:6" ht="12.75" customHeight="1">
      <c r="A149" s="7" t="s">
        <v>475</v>
      </c>
      <c r="B149" s="8" t="s">
        <v>415</v>
      </c>
      <c r="C149" s="9" t="s">
        <v>102</v>
      </c>
      <c r="D149" s="26">
        <f>0.06*D148</f>
        <v>4560</v>
      </c>
      <c r="E149" s="55">
        <v>7887.3</v>
      </c>
      <c r="F149" s="6">
        <f>(D149*E149)/1000</f>
        <v>35966.088</v>
      </c>
    </row>
    <row r="150" spans="1:6" ht="12.75" customHeight="1">
      <c r="A150" s="7" t="s">
        <v>478</v>
      </c>
      <c r="B150" s="8" t="s">
        <v>655</v>
      </c>
      <c r="C150" s="95" t="s">
        <v>11</v>
      </c>
      <c r="D150" s="26"/>
      <c r="E150" s="55"/>
      <c r="F150" s="6">
        <f>F151</f>
        <v>35920.248600000006</v>
      </c>
    </row>
    <row r="151" spans="1:6" ht="12.75" customHeight="1">
      <c r="A151" s="7" t="s">
        <v>479</v>
      </c>
      <c r="B151" s="8" t="s">
        <v>413</v>
      </c>
      <c r="C151" s="95" t="s">
        <v>11</v>
      </c>
      <c r="D151" s="26"/>
      <c r="E151" s="27"/>
      <c r="F151" s="6">
        <f>SUM(F152:F154)</f>
        <v>35920.248600000006</v>
      </c>
    </row>
    <row r="152" spans="1:6" ht="12.75" customHeight="1">
      <c r="A152" s="7" t="s">
        <v>480</v>
      </c>
      <c r="B152" s="8" t="s">
        <v>930</v>
      </c>
      <c r="C152" s="95" t="s">
        <v>102</v>
      </c>
      <c r="D152" s="26">
        <f>0.27*D153</f>
        <v>10260</v>
      </c>
      <c r="E152" s="55">
        <v>791.71</v>
      </c>
      <c r="F152" s="6">
        <f>(D152*E152)/1000</f>
        <v>8122.944600000001</v>
      </c>
    </row>
    <row r="153" spans="1:6" ht="12.75" customHeight="1">
      <c r="A153" s="7" t="s">
        <v>481</v>
      </c>
      <c r="B153" s="8" t="s">
        <v>414</v>
      </c>
      <c r="C153" s="9" t="s">
        <v>97</v>
      </c>
      <c r="D153" s="26">
        <v>38000</v>
      </c>
      <c r="E153" s="55">
        <v>258.27</v>
      </c>
      <c r="F153" s="6">
        <f>(D153*E153)/1000</f>
        <v>9814.26</v>
      </c>
    </row>
    <row r="154" spans="1:6" ht="12.75" customHeight="1">
      <c r="A154" s="7" t="s">
        <v>482</v>
      </c>
      <c r="B154" s="8" t="s">
        <v>415</v>
      </c>
      <c r="C154" s="9" t="s">
        <v>102</v>
      </c>
      <c r="D154" s="26">
        <f>0.06*D153</f>
        <v>2280</v>
      </c>
      <c r="E154" s="55">
        <v>7887.3</v>
      </c>
      <c r="F154" s="6">
        <f>(D154*E154)/1000</f>
        <v>17983.044</v>
      </c>
    </row>
    <row r="155" spans="1:6" ht="12.75" customHeight="1">
      <c r="A155" s="7" t="s">
        <v>485</v>
      </c>
      <c r="B155" s="8" t="s">
        <v>484</v>
      </c>
      <c r="C155" s="95" t="s">
        <v>11</v>
      </c>
      <c r="D155" s="26"/>
      <c r="E155" s="55"/>
      <c r="F155" s="6">
        <f>F156</f>
        <v>9424.338908999998</v>
      </c>
    </row>
    <row r="156" spans="1:6" ht="12.75" customHeight="1">
      <c r="A156" s="7" t="s">
        <v>486</v>
      </c>
      <c r="B156" s="8" t="s">
        <v>413</v>
      </c>
      <c r="C156" s="95" t="s">
        <v>11</v>
      </c>
      <c r="D156" s="26"/>
      <c r="E156" s="27"/>
      <c r="F156" s="6">
        <f>SUM(F157:F159)</f>
        <v>9424.338908999998</v>
      </c>
    </row>
    <row r="157" spans="1:6" ht="12.75" customHeight="1">
      <c r="A157" s="7" t="s">
        <v>487</v>
      </c>
      <c r="B157" s="8" t="s">
        <v>930</v>
      </c>
      <c r="C157" s="95" t="s">
        <v>102</v>
      </c>
      <c r="D157" s="26">
        <f>0.27*D158</f>
        <v>2691.9</v>
      </c>
      <c r="E157" s="55">
        <v>791.71</v>
      </c>
      <c r="F157" s="6">
        <f>(D157*E157)/1000</f>
        <v>2131.204149</v>
      </c>
    </row>
    <row r="158" spans="1:6" ht="12.75" customHeight="1">
      <c r="A158" s="7" t="s">
        <v>488</v>
      </c>
      <c r="B158" s="8" t="s">
        <v>414</v>
      </c>
      <c r="C158" s="9" t="s">
        <v>97</v>
      </c>
      <c r="D158" s="26">
        <v>9970</v>
      </c>
      <c r="E158" s="55">
        <v>258.27</v>
      </c>
      <c r="F158" s="6">
        <f>(D158*E158)/1000</f>
        <v>2574.9519</v>
      </c>
    </row>
    <row r="159" spans="1:6" ht="12.75" customHeight="1">
      <c r="A159" s="7" t="s">
        <v>489</v>
      </c>
      <c r="B159" s="8" t="s">
        <v>415</v>
      </c>
      <c r="C159" s="9" t="s">
        <v>102</v>
      </c>
      <c r="D159" s="26">
        <f>0.06*D158</f>
        <v>598.1999999999999</v>
      </c>
      <c r="E159" s="55">
        <v>7887.3</v>
      </c>
      <c r="F159" s="6">
        <f>(D159*E159)/1000</f>
        <v>4718.182859999999</v>
      </c>
    </row>
    <row r="160" spans="1:6" ht="12.75" customHeight="1">
      <c r="A160" s="7" t="s">
        <v>476</v>
      </c>
      <c r="B160" s="8" t="s">
        <v>1023</v>
      </c>
      <c r="C160" s="9" t="s">
        <v>87</v>
      </c>
      <c r="D160" s="26">
        <v>4</v>
      </c>
      <c r="E160" s="140">
        <f>SUM(F140,F145,F150,F155)</f>
        <v>927810.5686410001</v>
      </c>
      <c r="F160" s="6">
        <f>D160*E160/100</f>
        <v>37112.422745640004</v>
      </c>
    </row>
    <row r="161" spans="1:6" ht="12.75" customHeight="1">
      <c r="A161" s="7" t="s">
        <v>477</v>
      </c>
      <c r="B161" s="8" t="s">
        <v>26</v>
      </c>
      <c r="C161" s="5" t="s">
        <v>87</v>
      </c>
      <c r="D161" s="26">
        <v>1</v>
      </c>
      <c r="E161" s="27"/>
      <c r="F161" s="6">
        <f>SUM(F132,F136,F140,F145,F150,F155,F160)*D161/100</f>
        <v>10411.766860262402</v>
      </c>
    </row>
    <row r="162" spans="1:6" ht="12.75" customHeight="1">
      <c r="A162" s="7" t="s">
        <v>105</v>
      </c>
      <c r="B162" s="8" t="s">
        <v>106</v>
      </c>
      <c r="C162" s="5" t="s">
        <v>11</v>
      </c>
      <c r="D162" s="26">
        <v>1</v>
      </c>
      <c r="E162" s="140">
        <v>35971300.21</v>
      </c>
      <c r="F162" s="6">
        <f>D162*E162/1000</f>
        <v>35971.30021</v>
      </c>
    </row>
    <row r="163" spans="1:6" ht="12.75" customHeight="1">
      <c r="A163" s="7" t="s">
        <v>107</v>
      </c>
      <c r="B163" s="8" t="s">
        <v>440</v>
      </c>
      <c r="C163" s="5" t="s">
        <v>87</v>
      </c>
      <c r="D163" s="70">
        <v>2</v>
      </c>
      <c r="E163" s="27"/>
      <c r="F163" s="6">
        <f>(SUM(F130,F131,F162)*D163/100)</f>
        <v>21751.19506193005</v>
      </c>
    </row>
    <row r="164" spans="1:6" ht="12.75" customHeight="1">
      <c r="A164" s="3"/>
      <c r="B164" s="4"/>
      <c r="C164" s="5"/>
      <c r="D164" s="27"/>
      <c r="E164" s="27"/>
      <c r="F164" s="6"/>
    </row>
    <row r="165" spans="1:6" ht="12.75" customHeight="1">
      <c r="A165" s="7" t="s">
        <v>108</v>
      </c>
      <c r="B165" s="8" t="s">
        <v>286</v>
      </c>
      <c r="C165" s="9" t="s">
        <v>11</v>
      </c>
      <c r="D165" s="27"/>
      <c r="E165" s="27"/>
      <c r="F165" s="6">
        <f>SUM(F166,F262,F340,F417,F486:F487)</f>
        <v>2853951.4141545687</v>
      </c>
    </row>
    <row r="166" spans="1:6" ht="12.75" customHeight="1">
      <c r="A166" s="7" t="s">
        <v>109</v>
      </c>
      <c r="B166" s="8" t="s">
        <v>296</v>
      </c>
      <c r="C166" s="5" t="s">
        <v>11</v>
      </c>
      <c r="D166" s="27"/>
      <c r="E166" s="27"/>
      <c r="F166" s="6">
        <f>F167</f>
        <v>93017.96891</v>
      </c>
    </row>
    <row r="167" spans="1:6" ht="12.75" customHeight="1">
      <c r="A167" s="7" t="s">
        <v>110</v>
      </c>
      <c r="B167" s="8" t="s">
        <v>297</v>
      </c>
      <c r="C167" s="9" t="s">
        <v>11</v>
      </c>
      <c r="D167" s="8"/>
      <c r="E167" s="8"/>
      <c r="F167" s="6">
        <f>F168+F227+F245</f>
        <v>93017.96891</v>
      </c>
    </row>
    <row r="168" spans="1:6" ht="12.75" customHeight="1">
      <c r="A168" s="7" t="s">
        <v>292</v>
      </c>
      <c r="B168" s="8" t="s">
        <v>492</v>
      </c>
      <c r="C168" s="9" t="s">
        <v>11</v>
      </c>
      <c r="D168" s="27"/>
      <c r="E168" s="27"/>
      <c r="F168" s="6">
        <f>F169+F183</f>
        <v>54467.0269</v>
      </c>
    </row>
    <row r="169" spans="1:6" ht="12.75" customHeight="1">
      <c r="A169" s="7" t="s">
        <v>372</v>
      </c>
      <c r="B169" s="8" t="s">
        <v>519</v>
      </c>
      <c r="C169" s="9" t="s">
        <v>11</v>
      </c>
      <c r="D169" s="27"/>
      <c r="E169" s="27"/>
      <c r="F169" s="6">
        <f>F170+F174+F178+F180+F182</f>
        <v>15423.618</v>
      </c>
    </row>
    <row r="170" spans="1:6" ht="12.75" customHeight="1">
      <c r="A170" s="7" t="s">
        <v>521</v>
      </c>
      <c r="B170" s="8" t="s">
        <v>566</v>
      </c>
      <c r="C170" s="9"/>
      <c r="D170" s="26"/>
      <c r="E170" s="27"/>
      <c r="F170" s="6">
        <f>SUM(F171:F173)</f>
        <v>4442.201999999999</v>
      </c>
    </row>
    <row r="171" spans="1:6" ht="12.75" customHeight="1">
      <c r="A171" s="7" t="s">
        <v>522</v>
      </c>
      <c r="B171" s="8" t="s">
        <v>549</v>
      </c>
      <c r="C171" s="9" t="s">
        <v>97</v>
      </c>
      <c r="D171" s="26">
        <v>372600</v>
      </c>
      <c r="E171" s="27">
        <v>9.83</v>
      </c>
      <c r="F171" s="6">
        <f>(D171*E171)/1000</f>
        <v>3662.658</v>
      </c>
    </row>
    <row r="172" spans="1:6" ht="12.75" customHeight="1">
      <c r="A172" s="7" t="s">
        <v>523</v>
      </c>
      <c r="B172" s="8" t="s">
        <v>547</v>
      </c>
      <c r="C172" s="9" t="s">
        <v>97</v>
      </c>
      <c r="D172" s="26">
        <v>16200</v>
      </c>
      <c r="E172" s="27">
        <v>18.12</v>
      </c>
      <c r="F172" s="6">
        <f>(D172*E172)/1000</f>
        <v>293.544</v>
      </c>
    </row>
    <row r="173" spans="1:6" ht="12.75" customHeight="1">
      <c r="A173" s="7" t="s">
        <v>524</v>
      </c>
      <c r="B173" s="8" t="s">
        <v>548</v>
      </c>
      <c r="C173" s="9" t="s">
        <v>97</v>
      </c>
      <c r="D173" s="26">
        <v>32400</v>
      </c>
      <c r="E173" s="27">
        <v>15</v>
      </c>
      <c r="F173" s="6">
        <f>(D173*E173)/1000</f>
        <v>486</v>
      </c>
    </row>
    <row r="174" spans="1:6" ht="12.75" customHeight="1">
      <c r="A174" s="7" t="s">
        <v>525</v>
      </c>
      <c r="B174" s="8" t="s">
        <v>567</v>
      </c>
      <c r="C174" s="9"/>
      <c r="D174" s="26"/>
      <c r="E174" s="27"/>
      <c r="F174" s="6">
        <f>SUM(F175:F177)</f>
        <v>4072.8</v>
      </c>
    </row>
    <row r="175" spans="1:6" ht="12.75" customHeight="1">
      <c r="A175" s="7" t="s">
        <v>526</v>
      </c>
      <c r="B175" s="8" t="s">
        <v>549</v>
      </c>
      <c r="C175" s="9" t="s">
        <v>97</v>
      </c>
      <c r="D175" s="26">
        <v>336000</v>
      </c>
      <c r="E175" s="27">
        <v>9.83</v>
      </c>
      <c r="F175" s="6">
        <f>(D175*E175)/1000</f>
        <v>3302.88</v>
      </c>
    </row>
    <row r="176" spans="1:6" ht="12.75" customHeight="1">
      <c r="A176" s="7" t="s">
        <v>527</v>
      </c>
      <c r="B176" s="8" t="s">
        <v>547</v>
      </c>
      <c r="C176" s="9" t="s">
        <v>97</v>
      </c>
      <c r="D176" s="26">
        <v>16000</v>
      </c>
      <c r="E176" s="27">
        <v>18.12</v>
      </c>
      <c r="F176" s="6">
        <f>(D176*E176)/1000</f>
        <v>289.92</v>
      </c>
    </row>
    <row r="177" spans="1:6" ht="12.75" customHeight="1">
      <c r="A177" s="7" t="s">
        <v>528</v>
      </c>
      <c r="B177" s="8" t="s">
        <v>548</v>
      </c>
      <c r="C177" s="9" t="s">
        <v>97</v>
      </c>
      <c r="D177" s="26">
        <v>32000</v>
      </c>
      <c r="E177" s="27">
        <v>15</v>
      </c>
      <c r="F177" s="6">
        <f>(D177*E177)/1000</f>
        <v>480</v>
      </c>
    </row>
    <row r="178" spans="1:6" ht="12.75" customHeight="1">
      <c r="A178" s="7" t="s">
        <v>374</v>
      </c>
      <c r="B178" s="8" t="s">
        <v>568</v>
      </c>
      <c r="C178" s="9" t="s">
        <v>11</v>
      </c>
      <c r="D178" s="26"/>
      <c r="E178" s="27"/>
      <c r="F178" s="6">
        <f>SUM(F179:F179)</f>
        <v>3613.896</v>
      </c>
    </row>
    <row r="179" spans="1:6" ht="12.75" customHeight="1">
      <c r="A179" s="7" t="s">
        <v>375</v>
      </c>
      <c r="B179" s="8" t="s">
        <v>550</v>
      </c>
      <c r="C179" s="9" t="s">
        <v>97</v>
      </c>
      <c r="D179" s="26">
        <v>421200</v>
      </c>
      <c r="E179" s="27">
        <v>8.58</v>
      </c>
      <c r="F179" s="6">
        <f>D179*E179/1000</f>
        <v>3613.896</v>
      </c>
    </row>
    <row r="180" spans="1:6" ht="12.75" customHeight="1">
      <c r="A180" s="7" t="s">
        <v>373</v>
      </c>
      <c r="B180" s="8" t="s">
        <v>569</v>
      </c>
      <c r="C180" s="9" t="s">
        <v>11</v>
      </c>
      <c r="D180" s="26"/>
      <c r="E180" s="27"/>
      <c r="F180" s="6">
        <f>SUM(F181:F181)</f>
        <v>3294.72</v>
      </c>
    </row>
    <row r="181" spans="1:6" ht="12.75" customHeight="1">
      <c r="A181" s="7" t="s">
        <v>529</v>
      </c>
      <c r="B181" s="8" t="s">
        <v>550</v>
      </c>
      <c r="C181" s="9" t="s">
        <v>97</v>
      </c>
      <c r="D181" s="26">
        <v>384000</v>
      </c>
      <c r="E181" s="27">
        <v>8.58</v>
      </c>
      <c r="F181" s="6">
        <f>D181*E181/1000</f>
        <v>3294.72</v>
      </c>
    </row>
    <row r="182" spans="1:6" ht="12.75" customHeight="1">
      <c r="A182" s="7" t="s">
        <v>530</v>
      </c>
      <c r="B182" s="8" t="s">
        <v>301</v>
      </c>
      <c r="C182" s="9" t="s">
        <v>11</v>
      </c>
      <c r="D182" s="26" t="s">
        <v>288</v>
      </c>
      <c r="E182" s="69" t="s">
        <v>288</v>
      </c>
      <c r="F182" s="6"/>
    </row>
    <row r="183" spans="1:6" ht="12.75" customHeight="1">
      <c r="A183" s="7" t="s">
        <v>520</v>
      </c>
      <c r="B183" s="8" t="s">
        <v>531</v>
      </c>
      <c r="C183" s="9" t="s">
        <v>11</v>
      </c>
      <c r="D183" s="26"/>
      <c r="E183" s="27"/>
      <c r="F183" s="6">
        <f>F184+F188+F192+F196+F200+F204+F208+F211+F214+F217+F220+F223+F226</f>
        <v>39043.408899999995</v>
      </c>
    </row>
    <row r="184" spans="1:6" ht="12.75" customHeight="1">
      <c r="A184" s="7" t="s">
        <v>532</v>
      </c>
      <c r="B184" s="8" t="s">
        <v>897</v>
      </c>
      <c r="C184" s="9"/>
      <c r="D184" s="26"/>
      <c r="E184" s="27"/>
      <c r="F184" s="6">
        <f>SUM(F185:F187)</f>
        <v>3804.6945</v>
      </c>
    </row>
    <row r="185" spans="1:6" ht="12.75" customHeight="1">
      <c r="A185" s="7" t="s">
        <v>533</v>
      </c>
      <c r="B185" s="8" t="s">
        <v>549</v>
      </c>
      <c r="C185" s="9" t="s">
        <v>97</v>
      </c>
      <c r="D185" s="26">
        <v>330150</v>
      </c>
      <c r="E185" s="27">
        <v>9.83</v>
      </c>
      <c r="F185" s="6">
        <f>(D185*E185)/1000</f>
        <v>3245.3745</v>
      </c>
    </row>
    <row r="186" spans="1:6" ht="12.75" customHeight="1">
      <c r="A186" s="7" t="s">
        <v>534</v>
      </c>
      <c r="B186" s="8" t="s">
        <v>547</v>
      </c>
      <c r="C186" s="9" t="s">
        <v>97</v>
      </c>
      <c r="D186" s="26">
        <v>11850</v>
      </c>
      <c r="E186" s="27">
        <v>18.12</v>
      </c>
      <c r="F186" s="6">
        <f>(D186*E186)/1000</f>
        <v>214.722</v>
      </c>
    </row>
    <row r="187" spans="1:6" ht="12.75" customHeight="1">
      <c r="A187" s="7" t="s">
        <v>535</v>
      </c>
      <c r="B187" s="8" t="s">
        <v>598</v>
      </c>
      <c r="C187" s="9" t="s">
        <v>97</v>
      </c>
      <c r="D187" s="26">
        <v>23700</v>
      </c>
      <c r="E187" s="27">
        <v>14.54</v>
      </c>
      <c r="F187" s="6">
        <f>(D187*E187)/1000</f>
        <v>344.598</v>
      </c>
    </row>
    <row r="188" spans="1:6" ht="12.75" customHeight="1">
      <c r="A188" s="7" t="s">
        <v>536</v>
      </c>
      <c r="B188" s="8" t="s">
        <v>898</v>
      </c>
      <c r="C188" s="9"/>
      <c r="D188" s="26"/>
      <c r="E188" s="27"/>
      <c r="F188" s="6">
        <f>SUM(F189:F191)</f>
        <v>660.6179999999999</v>
      </c>
    </row>
    <row r="189" spans="1:6" ht="12.75" customHeight="1">
      <c r="A189" s="7" t="s">
        <v>537</v>
      </c>
      <c r="B189" s="8" t="s">
        <v>549</v>
      </c>
      <c r="C189" s="9" t="s">
        <v>97</v>
      </c>
      <c r="D189" s="26">
        <v>54600</v>
      </c>
      <c r="E189" s="27">
        <v>9.83</v>
      </c>
      <c r="F189" s="6">
        <f>(D189*E189)/1000</f>
        <v>536.718</v>
      </c>
    </row>
    <row r="190" spans="1:6" ht="12.75" customHeight="1">
      <c r="A190" s="7" t="s">
        <v>538</v>
      </c>
      <c r="B190" s="8" t="s">
        <v>547</v>
      </c>
      <c r="C190" s="9" t="s">
        <v>97</v>
      </c>
      <c r="D190" s="26">
        <v>2625</v>
      </c>
      <c r="E190" s="27">
        <v>18.12</v>
      </c>
      <c r="F190" s="6">
        <f>(D190*E190)/1000</f>
        <v>47.565</v>
      </c>
    </row>
    <row r="191" spans="1:6" ht="12.75" customHeight="1">
      <c r="A191" s="7" t="s">
        <v>539</v>
      </c>
      <c r="B191" s="8" t="s">
        <v>598</v>
      </c>
      <c r="C191" s="9" t="s">
        <v>97</v>
      </c>
      <c r="D191" s="26">
        <v>5250</v>
      </c>
      <c r="E191" s="27">
        <v>14.54</v>
      </c>
      <c r="F191" s="6">
        <f>(D191*E191)/1000</f>
        <v>76.335</v>
      </c>
    </row>
    <row r="192" spans="1:6" ht="12.75" customHeight="1">
      <c r="A192" s="7" t="s">
        <v>552</v>
      </c>
      <c r="B192" s="8" t="s">
        <v>899</v>
      </c>
      <c r="C192" s="9"/>
      <c r="D192" s="26"/>
      <c r="E192" s="27"/>
      <c r="F192" s="6">
        <f>SUM(F193:F195)</f>
        <v>660.6179999999999</v>
      </c>
    </row>
    <row r="193" spans="1:6" ht="12.75" customHeight="1">
      <c r="A193" s="7" t="s">
        <v>553</v>
      </c>
      <c r="B193" s="8" t="s">
        <v>549</v>
      </c>
      <c r="C193" s="9" t="s">
        <v>97</v>
      </c>
      <c r="D193" s="26">
        <v>54600</v>
      </c>
      <c r="E193" s="27">
        <v>9.83</v>
      </c>
      <c r="F193" s="6">
        <f>(D193*E193)/1000</f>
        <v>536.718</v>
      </c>
    </row>
    <row r="194" spans="1:6" ht="12.75" customHeight="1">
      <c r="A194" s="7" t="s">
        <v>554</v>
      </c>
      <c r="B194" s="8" t="s">
        <v>547</v>
      </c>
      <c r="C194" s="9" t="s">
        <v>97</v>
      </c>
      <c r="D194" s="26">
        <v>2625</v>
      </c>
      <c r="E194" s="27">
        <v>18.12</v>
      </c>
      <c r="F194" s="6">
        <f>(D194*E194)/1000</f>
        <v>47.565</v>
      </c>
    </row>
    <row r="195" spans="1:6" ht="12.75" customHeight="1">
      <c r="A195" s="7" t="s">
        <v>555</v>
      </c>
      <c r="B195" s="8" t="s">
        <v>598</v>
      </c>
      <c r="C195" s="9" t="s">
        <v>97</v>
      </c>
      <c r="D195" s="26">
        <v>5250</v>
      </c>
      <c r="E195" s="27">
        <v>14.54</v>
      </c>
      <c r="F195" s="6">
        <f>(D195*E195)/1000</f>
        <v>76.335</v>
      </c>
    </row>
    <row r="196" spans="1:6" ht="12.75" customHeight="1">
      <c r="A196" s="7" t="s">
        <v>556</v>
      </c>
      <c r="B196" s="8" t="s">
        <v>900</v>
      </c>
      <c r="C196" s="9"/>
      <c r="D196" s="26"/>
      <c r="E196" s="27"/>
      <c r="F196" s="6">
        <f>SUM(F197:F199)</f>
        <v>2199.266</v>
      </c>
    </row>
    <row r="197" spans="1:6" ht="12.75" customHeight="1">
      <c r="A197" s="7" t="s">
        <v>557</v>
      </c>
      <c r="B197" s="8" t="s">
        <v>549</v>
      </c>
      <c r="C197" s="9" t="s">
        <v>97</v>
      </c>
      <c r="D197" s="26">
        <v>194200</v>
      </c>
      <c r="E197" s="27">
        <v>9.83</v>
      </c>
      <c r="F197" s="6">
        <f>(D197*E197)/1000</f>
        <v>1908.986</v>
      </c>
    </row>
    <row r="198" spans="1:6" ht="12.75" customHeight="1">
      <c r="A198" s="7" t="s">
        <v>558</v>
      </c>
      <c r="B198" s="8" t="s">
        <v>547</v>
      </c>
      <c r="C198" s="9" t="s">
        <v>97</v>
      </c>
      <c r="D198" s="26">
        <v>6150</v>
      </c>
      <c r="E198" s="27">
        <v>18.12</v>
      </c>
      <c r="F198" s="6">
        <f>(D198*E198)/1000</f>
        <v>111.438</v>
      </c>
    </row>
    <row r="199" spans="1:6" ht="12.75" customHeight="1">
      <c r="A199" s="7" t="s">
        <v>559</v>
      </c>
      <c r="B199" s="8" t="s">
        <v>598</v>
      </c>
      <c r="C199" s="9" t="s">
        <v>97</v>
      </c>
      <c r="D199" s="26">
        <v>12300</v>
      </c>
      <c r="E199" s="27">
        <v>14.54</v>
      </c>
      <c r="F199" s="6">
        <f>(D199*E199)/1000</f>
        <v>178.842</v>
      </c>
    </row>
    <row r="200" spans="1:6" ht="12.75" customHeight="1">
      <c r="A200" s="7" t="s">
        <v>570</v>
      </c>
      <c r="B200" s="8" t="s">
        <v>901</v>
      </c>
      <c r="C200" s="9"/>
      <c r="D200" s="26"/>
      <c r="E200" s="27"/>
      <c r="F200" s="6">
        <f>SUM(F201:F203)</f>
        <v>7839.625</v>
      </c>
    </row>
    <row r="201" spans="1:6" ht="12.75" customHeight="1">
      <c r="A201" s="7" t="s">
        <v>571</v>
      </c>
      <c r="B201" s="8" t="s">
        <v>549</v>
      </c>
      <c r="C201" s="9" t="s">
        <v>97</v>
      </c>
      <c r="D201" s="26">
        <v>737500</v>
      </c>
      <c r="E201" s="27">
        <v>9.83</v>
      </c>
      <c r="F201" s="6">
        <f>(D201*E201)/1000</f>
        <v>7249.625</v>
      </c>
    </row>
    <row r="202" spans="1:6" ht="12.75" customHeight="1">
      <c r="A202" s="7" t="s">
        <v>572</v>
      </c>
      <c r="B202" s="8" t="s">
        <v>547</v>
      </c>
      <c r="C202" s="9" t="s">
        <v>97</v>
      </c>
      <c r="D202" s="26">
        <v>12500</v>
      </c>
      <c r="E202" s="27">
        <v>18.12</v>
      </c>
      <c r="F202" s="6">
        <f>(D202*E202)/1000</f>
        <v>226.5</v>
      </c>
    </row>
    <row r="203" spans="1:6" ht="12.75" customHeight="1">
      <c r="A203" s="7" t="s">
        <v>573</v>
      </c>
      <c r="B203" s="8" t="s">
        <v>598</v>
      </c>
      <c r="C203" s="9" t="s">
        <v>97</v>
      </c>
      <c r="D203" s="26">
        <v>25000</v>
      </c>
      <c r="E203" s="27">
        <v>14.54</v>
      </c>
      <c r="F203" s="6">
        <f>(D203*E203)/1000</f>
        <v>363.5</v>
      </c>
    </row>
    <row r="204" spans="1:6" ht="12.75" customHeight="1">
      <c r="A204" s="7" t="s">
        <v>574</v>
      </c>
      <c r="B204" s="8" t="s">
        <v>902</v>
      </c>
      <c r="C204" s="9"/>
      <c r="D204" s="26"/>
      <c r="E204" s="27"/>
      <c r="F204" s="6">
        <f>SUM(F205:F207)</f>
        <v>5988.3096</v>
      </c>
    </row>
    <row r="205" spans="1:6" ht="12.75" customHeight="1">
      <c r="A205" s="7" t="s">
        <v>575</v>
      </c>
      <c r="B205" s="8" t="s">
        <v>549</v>
      </c>
      <c r="C205" s="9" t="s">
        <v>97</v>
      </c>
      <c r="D205" s="26">
        <v>552720</v>
      </c>
      <c r="E205" s="27">
        <v>9.83</v>
      </c>
      <c r="F205" s="6">
        <f>(D205*E205)/1000</f>
        <v>5433.2375999999995</v>
      </c>
    </row>
    <row r="206" spans="1:6" ht="12.75" customHeight="1">
      <c r="A206" s="7" t="s">
        <v>576</v>
      </c>
      <c r="B206" s="8" t="s">
        <v>547</v>
      </c>
      <c r="C206" s="9" t="s">
        <v>97</v>
      </c>
      <c r="D206" s="26">
        <v>11760</v>
      </c>
      <c r="E206" s="27">
        <v>18.12</v>
      </c>
      <c r="F206" s="6">
        <f>(D206*E206)/1000</f>
        <v>213.09120000000001</v>
      </c>
    </row>
    <row r="207" spans="1:6" ht="12.75" customHeight="1">
      <c r="A207" s="7" t="s">
        <v>577</v>
      </c>
      <c r="B207" s="8" t="s">
        <v>598</v>
      </c>
      <c r="C207" s="9" t="s">
        <v>97</v>
      </c>
      <c r="D207" s="26">
        <v>23520</v>
      </c>
      <c r="E207" s="27">
        <v>14.54</v>
      </c>
      <c r="F207" s="6">
        <f>(D207*E207)/1000</f>
        <v>341.9808</v>
      </c>
    </row>
    <row r="208" spans="1:6" ht="12.75" customHeight="1">
      <c r="A208" s="7" t="s">
        <v>540</v>
      </c>
      <c r="B208" s="8" t="s">
        <v>903</v>
      </c>
      <c r="C208" s="9" t="s">
        <v>11</v>
      </c>
      <c r="D208" s="26"/>
      <c r="E208" s="27"/>
      <c r="F208" s="6">
        <f>SUM(F209:F210)</f>
        <v>3137.706</v>
      </c>
    </row>
    <row r="209" spans="1:6" ht="12.75" customHeight="1">
      <c r="A209" s="7" t="s">
        <v>541</v>
      </c>
      <c r="B209" s="8" t="s">
        <v>550</v>
      </c>
      <c r="C209" s="9" t="s">
        <v>97</v>
      </c>
      <c r="D209" s="26">
        <v>365700</v>
      </c>
      <c r="E209" s="27">
        <v>8.58</v>
      </c>
      <c r="F209" s="6">
        <f>D209*E209/1000</f>
        <v>3137.706</v>
      </c>
    </row>
    <row r="210" spans="1:6" ht="12.75" customHeight="1">
      <c r="A210" s="7" t="s">
        <v>542</v>
      </c>
      <c r="B210" s="8" t="s">
        <v>551</v>
      </c>
      <c r="C210" s="9" t="s">
        <v>97</v>
      </c>
      <c r="D210" s="26"/>
      <c r="E210" s="27"/>
      <c r="F210" s="6">
        <f>D210*E210/1000</f>
        <v>0</v>
      </c>
    </row>
    <row r="211" spans="1:6" ht="12.75" customHeight="1">
      <c r="A211" s="7" t="s">
        <v>543</v>
      </c>
      <c r="B211" s="8" t="s">
        <v>904</v>
      </c>
      <c r="C211" s="9" t="s">
        <v>11</v>
      </c>
      <c r="D211" s="26"/>
      <c r="E211" s="27"/>
      <c r="F211" s="6">
        <f>SUM(F212:F213)</f>
        <v>536.0355</v>
      </c>
    </row>
    <row r="212" spans="1:6" ht="12.75" customHeight="1">
      <c r="A212" s="7" t="s">
        <v>544</v>
      </c>
      <c r="B212" s="8" t="s">
        <v>550</v>
      </c>
      <c r="C212" s="9" t="s">
        <v>97</v>
      </c>
      <c r="D212" s="26">
        <v>62475</v>
      </c>
      <c r="E212" s="27">
        <v>8.58</v>
      </c>
      <c r="F212" s="6">
        <f>D212*E212/1000</f>
        <v>536.0355</v>
      </c>
    </row>
    <row r="213" spans="1:6" ht="12.75" customHeight="1">
      <c r="A213" s="7" t="s">
        <v>545</v>
      </c>
      <c r="B213" s="8" t="s">
        <v>551</v>
      </c>
      <c r="C213" s="9" t="s">
        <v>97</v>
      </c>
      <c r="D213" s="26"/>
      <c r="E213" s="27"/>
      <c r="F213" s="6">
        <f>D213*E213/1000</f>
        <v>0</v>
      </c>
    </row>
    <row r="214" spans="1:6" ht="12.75" customHeight="1">
      <c r="A214" s="7" t="s">
        <v>546</v>
      </c>
      <c r="B214" s="8" t="s">
        <v>905</v>
      </c>
      <c r="C214" s="9" t="s">
        <v>11</v>
      </c>
      <c r="D214" s="26"/>
      <c r="E214" s="27"/>
      <c r="F214" s="6">
        <f>SUM(F215:F216)</f>
        <v>536.0355</v>
      </c>
    </row>
    <row r="215" spans="1:6" ht="12.75" customHeight="1">
      <c r="A215" s="7" t="s">
        <v>560</v>
      </c>
      <c r="B215" s="8" t="s">
        <v>550</v>
      </c>
      <c r="C215" s="9" t="s">
        <v>97</v>
      </c>
      <c r="D215" s="26">
        <v>62475</v>
      </c>
      <c r="E215" s="27">
        <v>8.58</v>
      </c>
      <c r="F215" s="6">
        <f>D215*E215/1000</f>
        <v>536.0355</v>
      </c>
    </row>
    <row r="216" spans="1:6" ht="12.75" customHeight="1">
      <c r="A216" s="7" t="s">
        <v>561</v>
      </c>
      <c r="B216" s="8" t="s">
        <v>551</v>
      </c>
      <c r="C216" s="9" t="s">
        <v>97</v>
      </c>
      <c r="D216" s="26"/>
      <c r="E216" s="27"/>
      <c r="F216" s="6">
        <f>D216*E216/1000</f>
        <v>0</v>
      </c>
    </row>
    <row r="217" spans="1:6" ht="12.75" customHeight="1">
      <c r="A217" s="7" t="s">
        <v>562</v>
      </c>
      <c r="B217" s="8" t="s">
        <v>906</v>
      </c>
      <c r="C217" s="9" t="s">
        <v>11</v>
      </c>
      <c r="D217" s="26"/>
      <c r="E217" s="27"/>
      <c r="F217" s="6">
        <f>SUM(F218:F219)</f>
        <v>1824.537</v>
      </c>
    </row>
    <row r="218" spans="1:6" ht="12.75" customHeight="1">
      <c r="A218" s="7" t="s">
        <v>563</v>
      </c>
      <c r="B218" s="8" t="s">
        <v>550</v>
      </c>
      <c r="C218" s="9" t="s">
        <v>97</v>
      </c>
      <c r="D218" s="26">
        <v>212650</v>
      </c>
      <c r="E218" s="27">
        <v>8.58</v>
      </c>
      <c r="F218" s="6">
        <f>D218*E218/1000</f>
        <v>1824.537</v>
      </c>
    </row>
    <row r="219" spans="1:6" ht="12.75" customHeight="1">
      <c r="A219" s="7" t="s">
        <v>564</v>
      </c>
      <c r="B219" s="8" t="s">
        <v>551</v>
      </c>
      <c r="C219" s="9" t="s">
        <v>97</v>
      </c>
      <c r="D219" s="26"/>
      <c r="E219" s="27"/>
      <c r="F219" s="6">
        <f>D219*E219/1000</f>
        <v>0</v>
      </c>
    </row>
    <row r="220" spans="1:6" ht="12.75" customHeight="1">
      <c r="A220" s="7" t="s">
        <v>565</v>
      </c>
      <c r="B220" s="8" t="s">
        <v>907</v>
      </c>
      <c r="C220" s="9" t="s">
        <v>11</v>
      </c>
      <c r="D220" s="26"/>
      <c r="E220" s="27"/>
      <c r="F220" s="6">
        <f>SUM(F221:F222)</f>
        <v>6489.299999999999</v>
      </c>
    </row>
    <row r="221" spans="1:6" ht="12.75" customHeight="1">
      <c r="A221" s="7" t="s">
        <v>578</v>
      </c>
      <c r="B221" s="8" t="s">
        <v>550</v>
      </c>
      <c r="C221" s="9" t="s">
        <v>97</v>
      </c>
      <c r="D221" s="26">
        <v>629000</v>
      </c>
      <c r="E221" s="27">
        <v>8.58</v>
      </c>
      <c r="F221" s="6">
        <f>D221*E221/1000</f>
        <v>5396.82</v>
      </c>
    </row>
    <row r="222" spans="1:6" ht="12.75" customHeight="1">
      <c r="A222" s="7" t="s">
        <v>579</v>
      </c>
      <c r="B222" s="8" t="s">
        <v>551</v>
      </c>
      <c r="C222" s="9" t="s">
        <v>97</v>
      </c>
      <c r="D222" s="26">
        <v>96000</v>
      </c>
      <c r="E222" s="27">
        <v>11.38</v>
      </c>
      <c r="F222" s="6">
        <f>D222*E222/1000</f>
        <v>1092.48</v>
      </c>
    </row>
    <row r="223" spans="1:6" ht="12.75" customHeight="1">
      <c r="A223" s="7" t="s">
        <v>580</v>
      </c>
      <c r="B223" s="8" t="s">
        <v>908</v>
      </c>
      <c r="C223" s="9" t="s">
        <v>11</v>
      </c>
      <c r="D223" s="26"/>
      <c r="E223" s="27"/>
      <c r="F223" s="6">
        <f>SUM(F224:F225)</f>
        <v>5162.64</v>
      </c>
    </row>
    <row r="224" spans="1:6" ht="12.75" customHeight="1">
      <c r="A224" s="7" t="s">
        <v>581</v>
      </c>
      <c r="B224" s="8" t="s">
        <v>550</v>
      </c>
      <c r="C224" s="9" t="s">
        <v>97</v>
      </c>
      <c r="D224" s="26">
        <v>546000</v>
      </c>
      <c r="E224" s="27">
        <v>8.58</v>
      </c>
      <c r="F224" s="6">
        <f>D224*E224/1000</f>
        <v>4684.68</v>
      </c>
    </row>
    <row r="225" spans="1:6" ht="12.75" customHeight="1">
      <c r="A225" s="7" t="s">
        <v>582</v>
      </c>
      <c r="B225" s="8" t="s">
        <v>551</v>
      </c>
      <c r="C225" s="9" t="s">
        <v>97</v>
      </c>
      <c r="D225" s="26">
        <v>42000</v>
      </c>
      <c r="E225" s="27">
        <v>11.38</v>
      </c>
      <c r="F225" s="6">
        <f>D225*E225/1000</f>
        <v>477.96000000000004</v>
      </c>
    </row>
    <row r="226" spans="1:6" ht="12.75" customHeight="1">
      <c r="A226" s="7" t="s">
        <v>583</v>
      </c>
      <c r="B226" s="8" t="s">
        <v>1024</v>
      </c>
      <c r="C226" s="9" t="s">
        <v>11</v>
      </c>
      <c r="D226" s="26">
        <v>1</v>
      </c>
      <c r="E226" s="140">
        <v>204023.8</v>
      </c>
      <c r="F226" s="6">
        <f>D226*E226/1000</f>
        <v>204.0238</v>
      </c>
    </row>
    <row r="227" spans="1:6" ht="12.75" customHeight="1">
      <c r="A227" s="7" t="s">
        <v>293</v>
      </c>
      <c r="B227" s="8" t="s">
        <v>318</v>
      </c>
      <c r="C227" s="9" t="s">
        <v>11</v>
      </c>
      <c r="D227" s="27"/>
      <c r="E227" s="27"/>
      <c r="F227" s="6">
        <f>SUM(F228,F232,F236,F240)</f>
        <v>18189.512</v>
      </c>
    </row>
    <row r="228" spans="1:6" ht="12.75" customHeight="1">
      <c r="A228" s="7" t="s">
        <v>294</v>
      </c>
      <c r="B228" s="8" t="s">
        <v>959</v>
      </c>
      <c r="C228" s="9"/>
      <c r="D228" s="26"/>
      <c r="E228" s="27"/>
      <c r="F228" s="6">
        <f>SUM(F229:F231)</f>
        <v>3512.7679999999996</v>
      </c>
    </row>
    <row r="229" spans="1:6" ht="12.75" customHeight="1">
      <c r="A229" s="7" t="s">
        <v>362</v>
      </c>
      <c r="B229" s="8" t="s">
        <v>295</v>
      </c>
      <c r="C229" s="9" t="s">
        <v>97</v>
      </c>
      <c r="D229" s="26">
        <v>183400</v>
      </c>
      <c r="E229" s="146">
        <v>10.28</v>
      </c>
      <c r="F229" s="6">
        <f>(D229*E229)/1000</f>
        <v>1885.3519999999999</v>
      </c>
    </row>
    <row r="230" spans="1:6" ht="12.75" customHeight="1">
      <c r="A230" s="7" t="s">
        <v>363</v>
      </c>
      <c r="B230" s="8" t="s">
        <v>365</v>
      </c>
      <c r="C230" s="9" t="s">
        <v>97</v>
      </c>
      <c r="D230" s="26">
        <v>167800</v>
      </c>
      <c r="E230" s="146">
        <v>7.13</v>
      </c>
      <c r="F230" s="6">
        <f>(D230*E230)/1000</f>
        <v>1196.414</v>
      </c>
    </row>
    <row r="231" spans="1:6" ht="12.75" customHeight="1">
      <c r="A231" s="7" t="s">
        <v>364</v>
      </c>
      <c r="B231" s="8" t="s">
        <v>645</v>
      </c>
      <c r="C231" s="9" t="s">
        <v>97</v>
      </c>
      <c r="D231" s="26">
        <v>27400</v>
      </c>
      <c r="E231" s="146">
        <v>15.73</v>
      </c>
      <c r="F231" s="6">
        <f>(D231*E231)/1000</f>
        <v>431.002</v>
      </c>
    </row>
    <row r="232" spans="1:6" ht="12.75" customHeight="1">
      <c r="A232" s="7" t="s">
        <v>404</v>
      </c>
      <c r="B232" s="8" t="s">
        <v>493</v>
      </c>
      <c r="C232" s="9"/>
      <c r="D232" s="26"/>
      <c r="E232" s="27"/>
      <c r="F232" s="6">
        <f>SUM(F233:F235)</f>
        <v>8192.252999999999</v>
      </c>
    </row>
    <row r="233" spans="1:6" ht="12.75" customHeight="1">
      <c r="A233" s="7" t="s">
        <v>405</v>
      </c>
      <c r="B233" s="8" t="s">
        <v>295</v>
      </c>
      <c r="C233" s="9" t="s">
        <v>97</v>
      </c>
      <c r="D233" s="26">
        <v>639200</v>
      </c>
      <c r="E233" s="146">
        <v>10.28</v>
      </c>
      <c r="F233" s="6">
        <f>(D233*E233)/1000</f>
        <v>6570.976</v>
      </c>
    </row>
    <row r="234" spans="1:6" ht="12.75" customHeight="1">
      <c r="A234" s="7" t="s">
        <v>406</v>
      </c>
      <c r="B234" s="8" t="s">
        <v>365</v>
      </c>
      <c r="C234" s="9" t="s">
        <v>97</v>
      </c>
      <c r="D234" s="26">
        <v>138700</v>
      </c>
      <c r="E234" s="146">
        <v>7.13</v>
      </c>
      <c r="F234" s="6">
        <f>(D234*E234)/1000</f>
        <v>988.931</v>
      </c>
    </row>
    <row r="235" spans="1:6" ht="12.75" customHeight="1">
      <c r="A235" s="7" t="s">
        <v>407</v>
      </c>
      <c r="B235" s="8" t="s">
        <v>298</v>
      </c>
      <c r="C235" s="9" t="s">
        <v>97</v>
      </c>
      <c r="D235" s="26">
        <v>40200</v>
      </c>
      <c r="E235" s="146">
        <v>15.73</v>
      </c>
      <c r="F235" s="6">
        <f>(D235*E235)/1000</f>
        <v>632.346</v>
      </c>
    </row>
    <row r="236" spans="1:6" ht="12.75" customHeight="1">
      <c r="A236" s="7" t="s">
        <v>496</v>
      </c>
      <c r="B236" s="8" t="s">
        <v>494</v>
      </c>
      <c r="C236" s="9"/>
      <c r="D236" s="26"/>
      <c r="E236" s="27"/>
      <c r="F236" s="6">
        <f>SUM(F237:F239)</f>
        <v>2134.895</v>
      </c>
    </row>
    <row r="237" spans="1:6" ht="12.75" customHeight="1">
      <c r="A237" s="7" t="s">
        <v>497</v>
      </c>
      <c r="B237" s="8" t="s">
        <v>295</v>
      </c>
      <c r="C237" s="9" t="s">
        <v>97</v>
      </c>
      <c r="D237" s="26">
        <v>120100</v>
      </c>
      <c r="E237" s="146">
        <v>10.28</v>
      </c>
      <c r="F237" s="6">
        <f>(D237*E237)/1000</f>
        <v>1234.628</v>
      </c>
    </row>
    <row r="238" spans="1:6" ht="12.75" customHeight="1">
      <c r="A238" s="7" t="s">
        <v>498</v>
      </c>
      <c r="B238" s="8" t="s">
        <v>365</v>
      </c>
      <c r="C238" s="9" t="s">
        <v>97</v>
      </c>
      <c r="D238" s="26">
        <v>81700</v>
      </c>
      <c r="E238" s="146">
        <v>7.13</v>
      </c>
      <c r="F238" s="6">
        <f>(D238*E238)/1000</f>
        <v>582.521</v>
      </c>
    </row>
    <row r="239" spans="1:6" ht="12.75" customHeight="1">
      <c r="A239" s="7" t="s">
        <v>499</v>
      </c>
      <c r="B239" s="8" t="s">
        <v>298</v>
      </c>
      <c r="C239" s="9" t="s">
        <v>97</v>
      </c>
      <c r="D239" s="26">
        <v>20200</v>
      </c>
      <c r="E239" s="146">
        <v>15.73</v>
      </c>
      <c r="F239" s="6">
        <f>(D239*E239)/1000</f>
        <v>317.746</v>
      </c>
    </row>
    <row r="240" spans="1:6" ht="12.75" customHeight="1">
      <c r="A240" s="7" t="s">
        <v>500</v>
      </c>
      <c r="B240" s="8" t="s">
        <v>495</v>
      </c>
      <c r="C240" s="9"/>
      <c r="D240" s="26"/>
      <c r="E240" s="27"/>
      <c r="F240" s="6">
        <f>SUM(F241:F244)</f>
        <v>4349.596</v>
      </c>
    </row>
    <row r="241" spans="1:6" ht="12.75" customHeight="1">
      <c r="A241" s="7" t="s">
        <v>501</v>
      </c>
      <c r="B241" s="8" t="s">
        <v>295</v>
      </c>
      <c r="C241" s="9" t="s">
        <v>97</v>
      </c>
      <c r="D241" s="26">
        <v>300000</v>
      </c>
      <c r="E241" s="146">
        <v>10.28</v>
      </c>
      <c r="F241" s="6">
        <f>(D241*E241)/1000</f>
        <v>3084</v>
      </c>
    </row>
    <row r="242" spans="1:6" ht="12.75" customHeight="1">
      <c r="A242" s="7" t="s">
        <v>502</v>
      </c>
      <c r="B242" s="8" t="s">
        <v>365</v>
      </c>
      <c r="C242" s="9" t="s">
        <v>97</v>
      </c>
      <c r="D242" s="26">
        <v>123400</v>
      </c>
      <c r="E242" s="146">
        <v>7.13</v>
      </c>
      <c r="F242" s="6">
        <f>(D242*E242)/1000</f>
        <v>879.842</v>
      </c>
    </row>
    <row r="243" spans="1:6" ht="12.75" customHeight="1">
      <c r="A243" s="7" t="s">
        <v>503</v>
      </c>
      <c r="B243" s="8" t="s">
        <v>298</v>
      </c>
      <c r="C243" s="9" t="s">
        <v>97</v>
      </c>
      <c r="D243" s="26">
        <v>20200</v>
      </c>
      <c r="E243" s="146">
        <v>15.73</v>
      </c>
      <c r="F243" s="6">
        <f>(D243*E243)/1000</f>
        <v>317.746</v>
      </c>
    </row>
    <row r="244" spans="1:6" ht="12.75" customHeight="1">
      <c r="A244" s="7" t="s">
        <v>584</v>
      </c>
      <c r="B244" s="8" t="s">
        <v>1025</v>
      </c>
      <c r="C244" s="9" t="s">
        <v>11</v>
      </c>
      <c r="D244" s="26"/>
      <c r="E244" s="140">
        <v>68008</v>
      </c>
      <c r="F244" s="6">
        <f>E244/1000</f>
        <v>68.008</v>
      </c>
    </row>
    <row r="245" spans="1:6" ht="12.75" customHeight="1">
      <c r="A245" s="7" t="s">
        <v>393</v>
      </c>
      <c r="B245" s="8" t="s">
        <v>599</v>
      </c>
      <c r="C245" s="9" t="s">
        <v>11</v>
      </c>
      <c r="D245" s="26"/>
      <c r="E245" s="27"/>
      <c r="F245" s="6">
        <f>SUM(F246,F254)</f>
        <v>20361.43001</v>
      </c>
    </row>
    <row r="246" spans="1:6" ht="12.75" customHeight="1">
      <c r="A246" s="7" t="s">
        <v>366</v>
      </c>
      <c r="B246" s="8" t="s">
        <v>909</v>
      </c>
      <c r="C246" s="9"/>
      <c r="D246" s="26"/>
      <c r="E246" s="27"/>
      <c r="F246" s="6">
        <f>SUM(F247:F249,F250,F253)</f>
        <v>7344.14417</v>
      </c>
    </row>
    <row r="247" spans="1:6" ht="12.75" customHeight="1">
      <c r="A247" s="7" t="s">
        <v>367</v>
      </c>
      <c r="B247" s="8" t="s">
        <v>994</v>
      </c>
      <c r="C247" s="9" t="s">
        <v>97</v>
      </c>
      <c r="D247" s="26">
        <v>346500</v>
      </c>
      <c r="E247" s="27">
        <v>10.28</v>
      </c>
      <c r="F247" s="6">
        <f>(D247*E247)/1000</f>
        <v>3562.02</v>
      </c>
    </row>
    <row r="248" spans="1:6" ht="12.75" customHeight="1">
      <c r="A248" s="7" t="s">
        <v>368</v>
      </c>
      <c r="B248" s="8" t="s">
        <v>995</v>
      </c>
      <c r="C248" s="9" t="s">
        <v>97</v>
      </c>
      <c r="D248" s="26">
        <v>9900</v>
      </c>
      <c r="E248" s="27">
        <v>7.13</v>
      </c>
      <c r="F248" s="6">
        <f>(D248*E248)/1000</f>
        <v>70.587</v>
      </c>
    </row>
    <row r="249" spans="1:6" ht="12.75" customHeight="1">
      <c r="A249" s="7" t="s">
        <v>369</v>
      </c>
      <c r="B249" s="8" t="s">
        <v>996</v>
      </c>
      <c r="C249" s="9" t="s">
        <v>97</v>
      </c>
      <c r="D249" s="26">
        <v>19800</v>
      </c>
      <c r="E249" s="27">
        <v>15</v>
      </c>
      <c r="F249" s="6">
        <f>(D249*E249)/1000</f>
        <v>297</v>
      </c>
    </row>
    <row r="250" spans="1:6" ht="12.75" customHeight="1">
      <c r="A250" s="7" t="s">
        <v>370</v>
      </c>
      <c r="B250" s="8" t="s">
        <v>299</v>
      </c>
      <c r="C250" s="9" t="s">
        <v>11</v>
      </c>
      <c r="D250" s="26"/>
      <c r="E250" s="27"/>
      <c r="F250" s="6">
        <f>SUM(F251:F252)</f>
        <v>3380.5332000000003</v>
      </c>
    </row>
    <row r="251" spans="1:6" ht="12.75" customHeight="1">
      <c r="A251" s="7" t="s">
        <v>394</v>
      </c>
      <c r="B251" s="8" t="s">
        <v>585</v>
      </c>
      <c r="C251" s="9" t="s">
        <v>97</v>
      </c>
      <c r="D251" s="26">
        <f>SUM(D247:D249)*0.855</f>
        <v>321651</v>
      </c>
      <c r="E251" s="27">
        <v>8.58</v>
      </c>
      <c r="F251" s="6">
        <f>D251*E251/1000</f>
        <v>2759.76558</v>
      </c>
    </row>
    <row r="252" spans="1:6" ht="12.75" customHeight="1">
      <c r="A252" s="7" t="s">
        <v>395</v>
      </c>
      <c r="B252" s="8" t="s">
        <v>662</v>
      </c>
      <c r="C252" s="9" t="s">
        <v>97</v>
      </c>
      <c r="D252" s="26">
        <f>SUM(D247:D249)*0.145</f>
        <v>54548.99999999999</v>
      </c>
      <c r="E252" s="27">
        <v>11.38</v>
      </c>
      <c r="F252" s="6">
        <f>D252*E252/1000</f>
        <v>620.76762</v>
      </c>
    </row>
    <row r="253" spans="1:6" ht="12.75" customHeight="1">
      <c r="A253" s="7" t="s">
        <v>371</v>
      </c>
      <c r="B253" s="8" t="s">
        <v>1026</v>
      </c>
      <c r="C253" s="9" t="s">
        <v>11</v>
      </c>
      <c r="D253" s="26">
        <v>1</v>
      </c>
      <c r="E253" s="140">
        <v>34003.97</v>
      </c>
      <c r="F253" s="6">
        <f>D253*E253/1000</f>
        <v>34.00397</v>
      </c>
    </row>
    <row r="254" spans="1:6" ht="12.75" customHeight="1">
      <c r="A254" s="7" t="s">
        <v>396</v>
      </c>
      <c r="B254" s="8" t="s">
        <v>910</v>
      </c>
      <c r="C254" s="9"/>
      <c r="D254" s="26"/>
      <c r="E254" s="27"/>
      <c r="F254" s="6">
        <f>SUM(F255:F257,F258,F261)</f>
        <v>13017.28584</v>
      </c>
    </row>
    <row r="255" spans="1:6" ht="12.75" customHeight="1">
      <c r="A255" s="7" t="s">
        <v>397</v>
      </c>
      <c r="B255" s="8" t="s">
        <v>994</v>
      </c>
      <c r="C255" s="9" t="s">
        <v>97</v>
      </c>
      <c r="D255" s="26">
        <v>594000</v>
      </c>
      <c r="E255" s="27">
        <v>10.28</v>
      </c>
      <c r="F255" s="6">
        <f>(D255*E255)/1000</f>
        <v>6106.32</v>
      </c>
    </row>
    <row r="256" spans="1:6" ht="12.75" customHeight="1">
      <c r="A256" s="7" t="s">
        <v>398</v>
      </c>
      <c r="B256" s="8" t="s">
        <v>997</v>
      </c>
      <c r="C256" s="9" t="s">
        <v>97</v>
      </c>
      <c r="D256" s="26">
        <v>13200</v>
      </c>
      <c r="E256" s="27">
        <v>7.13</v>
      </c>
      <c r="F256" s="6">
        <f>(D256*E256)/1000</f>
        <v>94.116</v>
      </c>
    </row>
    <row r="257" spans="1:6" ht="12.75" customHeight="1">
      <c r="A257" s="7" t="s">
        <v>399</v>
      </c>
      <c r="B257" s="8" t="s">
        <v>996</v>
      </c>
      <c r="C257" s="9" t="s">
        <v>97</v>
      </c>
      <c r="D257" s="26">
        <v>26400</v>
      </c>
      <c r="E257" s="27">
        <v>15</v>
      </c>
      <c r="F257" s="6">
        <f>(D257*E257)/1000</f>
        <v>396</v>
      </c>
    </row>
    <row r="258" spans="1:6" ht="12.75" customHeight="1">
      <c r="A258" s="7" t="s">
        <v>400</v>
      </c>
      <c r="B258" s="8" t="s">
        <v>911</v>
      </c>
      <c r="C258" s="9" t="s">
        <v>11</v>
      </c>
      <c r="D258" s="26"/>
      <c r="E258" s="27"/>
      <c r="F258" s="6">
        <f>SUM(F259:F260)</f>
        <v>6367.68</v>
      </c>
    </row>
    <row r="259" spans="1:6" ht="12.75" customHeight="1">
      <c r="A259" s="7" t="s">
        <v>401</v>
      </c>
      <c r="B259" s="8" t="s">
        <v>300</v>
      </c>
      <c r="C259" s="9" t="s">
        <v>97</v>
      </c>
      <c r="D259" s="26">
        <f>SUM(D255:D257)*0.475</f>
        <v>300960</v>
      </c>
      <c r="E259" s="27">
        <v>8.58</v>
      </c>
      <c r="F259" s="6">
        <f>D259*E259/1000</f>
        <v>2582.2367999999997</v>
      </c>
    </row>
    <row r="260" spans="1:6" ht="12.75" customHeight="1">
      <c r="A260" s="7" t="s">
        <v>402</v>
      </c>
      <c r="B260" s="8" t="s">
        <v>663</v>
      </c>
      <c r="C260" s="9" t="s">
        <v>97</v>
      </c>
      <c r="D260" s="26">
        <f>SUM(D255:D257)*0.525</f>
        <v>332640</v>
      </c>
      <c r="E260" s="27">
        <v>11.38</v>
      </c>
      <c r="F260" s="6">
        <f>D260*E260/1000</f>
        <v>3785.4432</v>
      </c>
    </row>
    <row r="261" spans="1:6" ht="12.75" customHeight="1">
      <c r="A261" s="7" t="s">
        <v>403</v>
      </c>
      <c r="B261" s="8" t="s">
        <v>1027</v>
      </c>
      <c r="C261" s="9" t="s">
        <v>11</v>
      </c>
      <c r="D261" s="26">
        <v>1</v>
      </c>
      <c r="E261" s="140">
        <v>53169.84</v>
      </c>
      <c r="F261" s="6">
        <f>D261*E261/1000</f>
        <v>53.16983999999999</v>
      </c>
    </row>
    <row r="262" spans="1:6" ht="12.75" customHeight="1">
      <c r="A262" s="7" t="s">
        <v>116</v>
      </c>
      <c r="B262" s="8" t="s">
        <v>325</v>
      </c>
      <c r="C262" s="5" t="s">
        <v>11</v>
      </c>
      <c r="D262" s="27"/>
      <c r="E262" s="27"/>
      <c r="F262" s="6">
        <f>SUM(F263,F283)</f>
        <v>97877.17150724221</v>
      </c>
    </row>
    <row r="263" spans="1:6" ht="12.75" customHeight="1">
      <c r="A263" s="7" t="s">
        <v>117</v>
      </c>
      <c r="B263" s="8" t="s">
        <v>1001</v>
      </c>
      <c r="C263" s="5" t="s">
        <v>11</v>
      </c>
      <c r="D263" s="26"/>
      <c r="E263" s="27"/>
      <c r="F263" s="6">
        <f>SUM(F264,F269,F276,F281:F282)</f>
        <v>35282.511952656</v>
      </c>
    </row>
    <row r="264" spans="1:6" ht="12.75" customHeight="1">
      <c r="A264" s="7" t="s">
        <v>118</v>
      </c>
      <c r="B264" s="8" t="s">
        <v>291</v>
      </c>
      <c r="C264" s="5" t="s">
        <v>11</v>
      </c>
      <c r="D264" s="26"/>
      <c r="E264" s="27"/>
      <c r="F264" s="6">
        <f>SUM(F265:F268)</f>
        <v>4104.1619064</v>
      </c>
    </row>
    <row r="265" spans="1:6" ht="12.75" customHeight="1">
      <c r="A265" s="7" t="s">
        <v>119</v>
      </c>
      <c r="B265" s="8" t="s">
        <v>96</v>
      </c>
      <c r="C265" s="5" t="s">
        <v>97</v>
      </c>
      <c r="D265" s="26"/>
      <c r="E265" s="27"/>
      <c r="F265" s="6">
        <f>(D265*E265)/1000</f>
        <v>0</v>
      </c>
    </row>
    <row r="266" spans="1:6" ht="12.75" customHeight="1">
      <c r="A266" s="7" t="s">
        <v>120</v>
      </c>
      <c r="B266" s="28" t="s">
        <v>998</v>
      </c>
      <c r="C266" s="5" t="s">
        <v>97</v>
      </c>
      <c r="D266" s="26">
        <v>407393.5</v>
      </c>
      <c r="E266" s="141">
        <v>5.49</v>
      </c>
      <c r="F266" s="6">
        <f>(D266*E266)/1000</f>
        <v>2236.590315</v>
      </c>
    </row>
    <row r="267" spans="1:6" ht="12.75" customHeight="1">
      <c r="A267" s="7" t="s">
        <v>445</v>
      </c>
      <c r="B267" s="8" t="s">
        <v>1028</v>
      </c>
      <c r="C267" s="5" t="s">
        <v>97</v>
      </c>
      <c r="D267" s="26">
        <v>85394.22</v>
      </c>
      <c r="E267" s="147">
        <v>21.87</v>
      </c>
      <c r="F267" s="6">
        <f>(D267*E267)/1000</f>
        <v>1867.5715914</v>
      </c>
    </row>
    <row r="268" spans="1:6" ht="12.75" customHeight="1">
      <c r="A268" s="7" t="s">
        <v>446</v>
      </c>
      <c r="B268" s="28" t="s">
        <v>240</v>
      </c>
      <c r="C268" s="5" t="s">
        <v>97</v>
      </c>
      <c r="D268" s="26"/>
      <c r="E268" s="68"/>
      <c r="F268" s="6">
        <f>(D268*E268)/1000</f>
        <v>0</v>
      </c>
    </row>
    <row r="269" spans="1:6" ht="12.75" customHeight="1">
      <c r="A269" s="7" t="s">
        <v>121</v>
      </c>
      <c r="B269" s="8" t="s">
        <v>100</v>
      </c>
      <c r="C269" s="5" t="s">
        <v>123</v>
      </c>
      <c r="D269" s="26"/>
      <c r="E269" s="55"/>
      <c r="F269" s="6">
        <f>SUM(F270,F271,F272,F275)</f>
        <v>11959.55075</v>
      </c>
    </row>
    <row r="270" spans="1:6" ht="12.75" customHeight="1">
      <c r="A270" s="7" t="s">
        <v>590</v>
      </c>
      <c r="B270" s="8" t="s">
        <v>504</v>
      </c>
      <c r="C270" s="9" t="s">
        <v>123</v>
      </c>
      <c r="D270" s="26">
        <v>49725</v>
      </c>
      <c r="E270" s="55">
        <v>46.71</v>
      </c>
      <c r="F270" s="6">
        <f>E270*D270/1000</f>
        <v>2322.65475</v>
      </c>
    </row>
    <row r="271" spans="1:6" ht="12.75" customHeight="1">
      <c r="A271" s="7" t="s">
        <v>591</v>
      </c>
      <c r="B271" s="8" t="s">
        <v>594</v>
      </c>
      <c r="C271" s="9" t="s">
        <v>97</v>
      </c>
      <c r="D271" s="26">
        <v>135200</v>
      </c>
      <c r="E271" s="55">
        <v>18.81</v>
      </c>
      <c r="F271" s="6">
        <f>E271*D271/1000</f>
        <v>2543.112</v>
      </c>
    </row>
    <row r="272" spans="1:6" ht="12.75" customHeight="1">
      <c r="A272" s="7" t="s">
        <v>592</v>
      </c>
      <c r="B272" s="8" t="s">
        <v>505</v>
      </c>
      <c r="C272" s="9" t="s">
        <v>11</v>
      </c>
      <c r="D272" s="26"/>
      <c r="E272" s="55"/>
      <c r="F272" s="6">
        <f>SUM(F273:F274)</f>
        <v>6046.8645</v>
      </c>
    </row>
    <row r="273" spans="1:6" ht="12.75" customHeight="1">
      <c r="A273" s="7" t="s">
        <v>850</v>
      </c>
      <c r="B273" s="8" t="s">
        <v>852</v>
      </c>
      <c r="C273" s="5" t="s">
        <v>97</v>
      </c>
      <c r="D273" s="26">
        <v>15000</v>
      </c>
      <c r="E273" s="55">
        <v>189.26</v>
      </c>
      <c r="F273" s="6">
        <f>E273*D273/1000</f>
        <v>2838.9</v>
      </c>
    </row>
    <row r="274" spans="1:6" ht="12.75" customHeight="1">
      <c r="A274" s="7" t="s">
        <v>851</v>
      </c>
      <c r="B274" s="8" t="s">
        <v>930</v>
      </c>
      <c r="C274" s="5" t="s">
        <v>102</v>
      </c>
      <c r="D274" s="154">
        <v>4050</v>
      </c>
      <c r="E274" s="55">
        <v>792.09</v>
      </c>
      <c r="F274" s="6">
        <f>E274*D274/1000</f>
        <v>3207.9645</v>
      </c>
    </row>
    <row r="275" spans="1:6" ht="12.75" customHeight="1">
      <c r="A275" s="7" t="s">
        <v>593</v>
      </c>
      <c r="B275" s="8" t="s">
        <v>974</v>
      </c>
      <c r="C275" s="9" t="s">
        <v>46</v>
      </c>
      <c r="D275" s="26">
        <v>4675</v>
      </c>
      <c r="E275" s="55">
        <v>223.94</v>
      </c>
      <c r="F275" s="6">
        <f>E275*D275/1000</f>
        <v>1046.9195</v>
      </c>
    </row>
    <row r="276" spans="1:6" ht="12.75" customHeight="1">
      <c r="A276" s="7" t="s">
        <v>122</v>
      </c>
      <c r="B276" s="8" t="s">
        <v>289</v>
      </c>
      <c r="C276" s="5" t="s">
        <v>97</v>
      </c>
      <c r="D276" s="26"/>
      <c r="E276" s="55"/>
      <c r="F276" s="6">
        <f>SUM(F277:F280)</f>
        <v>18434.811279999998</v>
      </c>
    </row>
    <row r="277" spans="1:6" ht="12.75" customHeight="1">
      <c r="A277" s="7" t="s">
        <v>934</v>
      </c>
      <c r="B277" s="8" t="s">
        <v>931</v>
      </c>
      <c r="C277" s="5" t="s">
        <v>97</v>
      </c>
      <c r="D277" s="26">
        <v>639507</v>
      </c>
      <c r="E277" s="141">
        <v>14.54</v>
      </c>
      <c r="F277" s="6">
        <f>(D277*E277)/1000</f>
        <v>9298.431779999999</v>
      </c>
    </row>
    <row r="278" spans="1:6" ht="12.75" customHeight="1">
      <c r="A278" s="7" t="s">
        <v>935</v>
      </c>
      <c r="B278" s="8" t="s">
        <v>1000</v>
      </c>
      <c r="C278" s="5" t="s">
        <v>97</v>
      </c>
      <c r="D278" s="26">
        <v>269450</v>
      </c>
      <c r="E278" s="55">
        <v>13.31</v>
      </c>
      <c r="F278" s="6">
        <f>(D278*E278)/1000</f>
        <v>3586.3795</v>
      </c>
    </row>
    <row r="279" spans="1:6" ht="12.75" customHeight="1">
      <c r="A279" s="7" t="s">
        <v>936</v>
      </c>
      <c r="B279" s="8" t="s">
        <v>932</v>
      </c>
      <c r="C279" s="5" t="s">
        <v>97</v>
      </c>
      <c r="D279" s="26">
        <v>120000</v>
      </c>
      <c r="E279" s="55">
        <v>37.19</v>
      </c>
      <c r="F279" s="6">
        <f>(D279*E279)/1000</f>
        <v>4462.8</v>
      </c>
    </row>
    <row r="280" spans="1:6" ht="12.75" customHeight="1">
      <c r="A280" s="7" t="s">
        <v>937</v>
      </c>
      <c r="B280" s="8" t="s">
        <v>933</v>
      </c>
      <c r="C280" s="5" t="s">
        <v>97</v>
      </c>
      <c r="D280" s="26">
        <v>60000</v>
      </c>
      <c r="E280" s="55">
        <v>18.12</v>
      </c>
      <c r="F280" s="6">
        <f>(D280*E280)/1000</f>
        <v>1087.2</v>
      </c>
    </row>
    <row r="281" spans="1:6" ht="12.75" customHeight="1">
      <c r="A281" s="7" t="s">
        <v>241</v>
      </c>
      <c r="B281" s="8" t="s">
        <v>1029</v>
      </c>
      <c r="C281" s="5" t="s">
        <v>11</v>
      </c>
      <c r="D281" s="76">
        <v>0.5</v>
      </c>
      <c r="E281" s="142">
        <f>F276</f>
        <v>18434.811279999998</v>
      </c>
      <c r="F281" s="6">
        <f>D281*E281/100</f>
        <v>92.17405639999998</v>
      </c>
    </row>
    <row r="282" spans="1:6" ht="12.75" customHeight="1">
      <c r="A282" s="7" t="s">
        <v>242</v>
      </c>
      <c r="B282" s="8" t="s">
        <v>290</v>
      </c>
      <c r="C282" s="5" t="s">
        <v>11</v>
      </c>
      <c r="D282" s="26">
        <v>2</v>
      </c>
      <c r="E282" s="27">
        <f>SUM(F264,F269,F276,F281)</f>
        <v>34590.6979928</v>
      </c>
      <c r="F282" s="6">
        <f>D282*E282/100</f>
        <v>691.813959856</v>
      </c>
    </row>
    <row r="283" spans="1:6" ht="12.75" customHeight="1">
      <c r="A283" s="7" t="s">
        <v>243</v>
      </c>
      <c r="B283" s="8" t="s">
        <v>417</v>
      </c>
      <c r="C283" s="9" t="s">
        <v>11</v>
      </c>
      <c r="D283" s="26"/>
      <c r="E283" s="27"/>
      <c r="F283" s="6">
        <f>F284+F304+F323</f>
        <v>62594.65955458621</v>
      </c>
    </row>
    <row r="284" spans="1:6" ht="12.75" customHeight="1">
      <c r="A284" s="7" t="s">
        <v>448</v>
      </c>
      <c r="B284" s="8" t="s">
        <v>1004</v>
      </c>
      <c r="C284" s="9" t="s">
        <v>11</v>
      </c>
      <c r="D284" s="26"/>
      <c r="E284" s="27"/>
      <c r="F284" s="6">
        <f>SUM(F285+F288+F295+F299+F302+F303)</f>
        <v>32038.405415810998</v>
      </c>
    </row>
    <row r="285" spans="1:6" ht="12.75" customHeight="1">
      <c r="A285" s="7" t="s">
        <v>447</v>
      </c>
      <c r="B285" s="8" t="s">
        <v>490</v>
      </c>
      <c r="C285" s="9" t="s">
        <v>11</v>
      </c>
      <c r="D285" s="26"/>
      <c r="E285" s="27"/>
      <c r="F285" s="6">
        <f>SUM(F286:F287)</f>
        <v>0</v>
      </c>
    </row>
    <row r="286" spans="1:6" ht="12.75" customHeight="1">
      <c r="A286" s="7" t="s">
        <v>450</v>
      </c>
      <c r="B286" s="8" t="s">
        <v>96</v>
      </c>
      <c r="C286" s="9" t="s">
        <v>97</v>
      </c>
      <c r="D286" s="91"/>
      <c r="E286" s="55"/>
      <c r="F286" s="6">
        <f>(D286*E286)/1000</f>
        <v>0</v>
      </c>
    </row>
    <row r="287" spans="1:6" ht="12.75" customHeight="1">
      <c r="A287" s="7" t="s">
        <v>451</v>
      </c>
      <c r="B287" s="8" t="s">
        <v>326</v>
      </c>
      <c r="C287" s="9" t="s">
        <v>97</v>
      </c>
      <c r="D287" s="91"/>
      <c r="E287" s="55"/>
      <c r="F287" s="6">
        <f>(D287*E287)/1000</f>
        <v>0</v>
      </c>
    </row>
    <row r="288" spans="1:6" ht="12.75" customHeight="1">
      <c r="A288" s="7" t="s">
        <v>449</v>
      </c>
      <c r="B288" s="8" t="s">
        <v>100</v>
      </c>
      <c r="C288" s="9" t="s">
        <v>11</v>
      </c>
      <c r="D288" s="91"/>
      <c r="E288" s="55"/>
      <c r="F288" s="6">
        <f>SUM(F289:F292)</f>
        <v>3532.1650799999998</v>
      </c>
    </row>
    <row r="289" spans="1:6" ht="12.75" customHeight="1">
      <c r="A289" s="7" t="s">
        <v>587</v>
      </c>
      <c r="B289" s="8" t="s">
        <v>504</v>
      </c>
      <c r="C289" s="9" t="s">
        <v>239</v>
      </c>
      <c r="D289" s="91">
        <v>16455</v>
      </c>
      <c r="E289" s="55">
        <v>46.71</v>
      </c>
      <c r="F289" s="6">
        <f>(D289*E289)/1000</f>
        <v>768.61305</v>
      </c>
    </row>
    <row r="290" spans="1:6" ht="12.75" customHeight="1">
      <c r="A290" s="7" t="s">
        <v>588</v>
      </c>
      <c r="B290" s="8" t="s">
        <v>974</v>
      </c>
      <c r="C290" s="9" t="s">
        <v>46</v>
      </c>
      <c r="D290" s="26">
        <v>3595</v>
      </c>
      <c r="E290" s="55">
        <v>223.94</v>
      </c>
      <c r="F290" s="6">
        <f>E290*D290/1000</f>
        <v>805.0643</v>
      </c>
    </row>
    <row r="291" spans="1:6" ht="12.75" customHeight="1">
      <c r="A291" s="7" t="s">
        <v>589</v>
      </c>
      <c r="B291" s="8" t="s">
        <v>586</v>
      </c>
      <c r="C291" s="9" t="s">
        <v>46</v>
      </c>
      <c r="D291" s="26">
        <v>2730</v>
      </c>
      <c r="E291" s="55">
        <v>111.97</v>
      </c>
      <c r="F291" s="6">
        <f>E291*D291/1000</f>
        <v>305.6781</v>
      </c>
    </row>
    <row r="292" spans="1:6" ht="12.75" customHeight="1">
      <c r="A292" s="7" t="s">
        <v>619</v>
      </c>
      <c r="B292" s="8" t="s">
        <v>601</v>
      </c>
      <c r="C292" s="9" t="s">
        <v>11</v>
      </c>
      <c r="D292" s="26"/>
      <c r="E292" s="55"/>
      <c r="F292" s="6">
        <f>SUM(F293:F294)</f>
        <v>1652.80963</v>
      </c>
    </row>
    <row r="293" spans="1:6" ht="12.75" customHeight="1">
      <c r="A293" s="7" t="s">
        <v>853</v>
      </c>
      <c r="B293" s="8" t="s">
        <v>855</v>
      </c>
      <c r="C293" s="9" t="s">
        <v>97</v>
      </c>
      <c r="D293" s="26">
        <v>4100</v>
      </c>
      <c r="E293" s="55">
        <v>189.26</v>
      </c>
      <c r="F293" s="6">
        <f>(D293*E293)/1000</f>
        <v>775.966</v>
      </c>
    </row>
    <row r="294" spans="1:6" ht="12.75" customHeight="1">
      <c r="A294" s="7" t="s">
        <v>854</v>
      </c>
      <c r="B294" s="8" t="s">
        <v>925</v>
      </c>
      <c r="C294" s="9" t="s">
        <v>102</v>
      </c>
      <c r="D294" s="26">
        <v>1107</v>
      </c>
      <c r="E294" s="55">
        <v>792.09</v>
      </c>
      <c r="F294" s="6">
        <f>(D294*E294)/1000</f>
        <v>876.84363</v>
      </c>
    </row>
    <row r="295" spans="1:6" ht="12.75" customHeight="1">
      <c r="A295" s="7" t="s">
        <v>452</v>
      </c>
      <c r="B295" s="8" t="s">
        <v>284</v>
      </c>
      <c r="C295" s="95" t="s">
        <v>11</v>
      </c>
      <c r="D295" s="26"/>
      <c r="E295" s="27"/>
      <c r="F295" s="6">
        <f>SUM(F296:F298)</f>
        <v>16201.71041</v>
      </c>
    </row>
    <row r="296" spans="1:6" ht="12.75" customHeight="1">
      <c r="A296" s="7" t="s">
        <v>621</v>
      </c>
      <c r="B296" s="8" t="s">
        <v>938</v>
      </c>
      <c r="C296" s="95" t="s">
        <v>102</v>
      </c>
      <c r="D296" s="26">
        <f>0.27*D297</f>
        <v>4509</v>
      </c>
      <c r="E296" s="55">
        <v>792.09</v>
      </c>
      <c r="F296" s="6">
        <f>(D296*E296)/1000</f>
        <v>3571.53381</v>
      </c>
    </row>
    <row r="297" spans="1:6" ht="12.75" customHeight="1">
      <c r="A297" s="7" t="s">
        <v>622</v>
      </c>
      <c r="B297" s="8" t="s">
        <v>624</v>
      </c>
      <c r="C297" s="9" t="s">
        <v>97</v>
      </c>
      <c r="D297" s="26">
        <f>83500*0.2</f>
        <v>16700</v>
      </c>
      <c r="E297" s="55">
        <v>283.06</v>
      </c>
      <c r="F297" s="6">
        <f>(D297*E297)/1000</f>
        <v>4727.102</v>
      </c>
    </row>
    <row r="298" spans="1:6" ht="12.75" customHeight="1">
      <c r="A298" s="7" t="s">
        <v>623</v>
      </c>
      <c r="B298" s="8" t="s">
        <v>625</v>
      </c>
      <c r="C298" s="9" t="s">
        <v>102</v>
      </c>
      <c r="D298" s="26">
        <f>0.06*D297</f>
        <v>1002</v>
      </c>
      <c r="E298" s="55">
        <v>7887.3</v>
      </c>
      <c r="F298" s="6">
        <f>(D298*E298)/1000</f>
        <v>7903.074600000001</v>
      </c>
    </row>
    <row r="299" spans="1:6" ht="12.75" customHeight="1">
      <c r="A299" s="7" t="s">
        <v>620</v>
      </c>
      <c r="B299" s="8" t="s">
        <v>418</v>
      </c>
      <c r="C299" s="9" t="s">
        <v>11</v>
      </c>
      <c r="D299" s="91"/>
      <c r="E299" s="27"/>
      <c r="F299" s="6">
        <f>SUM(F300:F301)</f>
        <v>11537.6292</v>
      </c>
    </row>
    <row r="300" spans="1:6" ht="12.75" customHeight="1">
      <c r="A300" s="7" t="s">
        <v>856</v>
      </c>
      <c r="B300" s="8" t="s">
        <v>858</v>
      </c>
      <c r="C300" s="9" t="s">
        <v>97</v>
      </c>
      <c r="D300" s="91">
        <f>83500*0.8</f>
        <v>66800</v>
      </c>
      <c r="E300" s="27">
        <v>93.51</v>
      </c>
      <c r="F300" s="6">
        <f>(D300*E300)/1000</f>
        <v>6246.468</v>
      </c>
    </row>
    <row r="301" spans="1:6" ht="12.75" customHeight="1">
      <c r="A301" s="7" t="s">
        <v>857</v>
      </c>
      <c r="B301" s="8" t="s">
        <v>938</v>
      </c>
      <c r="C301" s="9" t="s">
        <v>102</v>
      </c>
      <c r="D301" s="91">
        <f>D300*0.1</f>
        <v>6680</v>
      </c>
      <c r="E301" s="55">
        <v>792.09</v>
      </c>
      <c r="F301" s="6">
        <f>(D301*E301)/1000</f>
        <v>5291.1612000000005</v>
      </c>
    </row>
    <row r="302" spans="1:6" ht="12.75" customHeight="1">
      <c r="A302" s="7" t="s">
        <v>453</v>
      </c>
      <c r="B302" s="8" t="s">
        <v>1030</v>
      </c>
      <c r="C302" s="9" t="s">
        <v>11</v>
      </c>
      <c r="D302" s="76">
        <v>0.5</v>
      </c>
      <c r="E302" s="141">
        <f>SUM(F295,F299)</f>
        <v>27739.33961</v>
      </c>
      <c r="F302" s="6">
        <f>E302*D302/100</f>
        <v>138.69669805</v>
      </c>
    </row>
    <row r="303" spans="1:6" ht="12.75" customHeight="1">
      <c r="A303" s="7" t="s">
        <v>454</v>
      </c>
      <c r="B303" s="8" t="s">
        <v>290</v>
      </c>
      <c r="C303" s="9" t="s">
        <v>87</v>
      </c>
      <c r="D303" s="26">
        <v>2</v>
      </c>
      <c r="E303" s="27">
        <f>SUM(F288,F295,F299,F302)</f>
        <v>31410.201388049998</v>
      </c>
      <c r="F303" s="6">
        <f>(SUM(F285,F288,F295,F299,F302)*D303/100)</f>
        <v>628.2040277609999</v>
      </c>
    </row>
    <row r="304" spans="1:6" ht="12.75" customHeight="1">
      <c r="A304" s="7" t="s">
        <v>444</v>
      </c>
      <c r="B304" s="8" t="s">
        <v>1002</v>
      </c>
      <c r="C304" s="9" t="s">
        <v>11</v>
      </c>
      <c r="D304" s="26"/>
      <c r="E304" s="27"/>
      <c r="F304" s="6">
        <f>SUM(F305+F308+F314+F318+F321+F322)</f>
        <v>4634.602937359201</v>
      </c>
    </row>
    <row r="305" spans="1:6" ht="12.75" customHeight="1">
      <c r="A305" s="7" t="s">
        <v>456</v>
      </c>
      <c r="B305" s="8" t="s">
        <v>490</v>
      </c>
      <c r="C305" s="9" t="s">
        <v>11</v>
      </c>
      <c r="D305" s="26" t="s">
        <v>288</v>
      </c>
      <c r="E305" s="27"/>
      <c r="F305" s="6">
        <f>SUM(F306:F307)</f>
        <v>0</v>
      </c>
    </row>
    <row r="306" spans="1:6" ht="12.75" customHeight="1">
      <c r="A306" s="7" t="s">
        <v>457</v>
      </c>
      <c r="B306" s="8" t="s">
        <v>96</v>
      </c>
      <c r="C306" s="9" t="s">
        <v>97</v>
      </c>
      <c r="D306" s="91"/>
      <c r="E306" s="55"/>
      <c r="F306" s="6">
        <f>(D306*E306)/1000</f>
        <v>0</v>
      </c>
    </row>
    <row r="307" spans="1:6" ht="12.75" customHeight="1">
      <c r="A307" s="7" t="s">
        <v>458</v>
      </c>
      <c r="B307" s="8" t="s">
        <v>326</v>
      </c>
      <c r="C307" s="9" t="s">
        <v>97</v>
      </c>
      <c r="D307" s="91"/>
      <c r="E307" s="55"/>
      <c r="F307" s="6">
        <f>(D307*E307)/1000</f>
        <v>0</v>
      </c>
    </row>
    <row r="308" spans="1:6" ht="12.75" customHeight="1">
      <c r="A308" s="7" t="s">
        <v>459</v>
      </c>
      <c r="B308" s="8" t="s">
        <v>100</v>
      </c>
      <c r="C308" s="9" t="s">
        <v>11</v>
      </c>
      <c r="D308" s="91"/>
      <c r="E308" s="55"/>
      <c r="F308" s="6">
        <f>SUM(F309:F313)</f>
        <v>860.206197</v>
      </c>
    </row>
    <row r="309" spans="1:6" ht="12.75" customHeight="1">
      <c r="A309" s="7" t="s">
        <v>595</v>
      </c>
      <c r="B309" s="8" t="s">
        <v>504</v>
      </c>
      <c r="C309" s="9" t="s">
        <v>239</v>
      </c>
      <c r="D309" s="91">
        <v>3160</v>
      </c>
      <c r="E309" s="55">
        <v>46.71</v>
      </c>
      <c r="F309" s="6">
        <f>(D309*E309)/1000</f>
        <v>147.6036</v>
      </c>
    </row>
    <row r="310" spans="1:6" ht="12.75" customHeight="1">
      <c r="A310" s="7" t="s">
        <v>596</v>
      </c>
      <c r="B310" s="8" t="s">
        <v>506</v>
      </c>
      <c r="C310" s="9" t="s">
        <v>46</v>
      </c>
      <c r="D310" s="26">
        <v>1220</v>
      </c>
      <c r="E310" s="55">
        <v>223.94</v>
      </c>
      <c r="F310" s="6">
        <f>E310*D310/1000</f>
        <v>273.2068</v>
      </c>
    </row>
    <row r="311" spans="1:6" ht="12.75" customHeight="1">
      <c r="A311" s="7" t="s">
        <v>597</v>
      </c>
      <c r="B311" s="8" t="s">
        <v>586</v>
      </c>
      <c r="C311" s="9" t="s">
        <v>46</v>
      </c>
      <c r="D311" s="26">
        <v>1080</v>
      </c>
      <c r="E311" s="55">
        <v>111.97</v>
      </c>
      <c r="F311" s="6">
        <f>E311*D311/1000</f>
        <v>120.92760000000001</v>
      </c>
    </row>
    <row r="312" spans="1:6" ht="12.75" customHeight="1">
      <c r="A312" s="7" t="s">
        <v>989</v>
      </c>
      <c r="B312" s="8" t="s">
        <v>991</v>
      </c>
      <c r="C312" s="9" t="s">
        <v>46</v>
      </c>
      <c r="D312" s="26">
        <v>213.3</v>
      </c>
      <c r="E312" s="55">
        <v>792.09</v>
      </c>
      <c r="F312" s="6">
        <f>E312*D312/1000</f>
        <v>168.95279700000003</v>
      </c>
    </row>
    <row r="313" spans="1:6" ht="12.75" customHeight="1">
      <c r="A313" s="7" t="s">
        <v>990</v>
      </c>
      <c r="B313" s="8" t="s">
        <v>516</v>
      </c>
      <c r="C313" s="9" t="s">
        <v>46</v>
      </c>
      <c r="D313" s="26">
        <v>790</v>
      </c>
      <c r="E313" s="55">
        <v>189.26</v>
      </c>
      <c r="F313" s="6">
        <f>E313*D313/1000</f>
        <v>149.5154</v>
      </c>
    </row>
    <row r="314" spans="1:6" ht="12.75" customHeight="1">
      <c r="A314" s="7" t="s">
        <v>460</v>
      </c>
      <c r="B314" s="8" t="s">
        <v>284</v>
      </c>
      <c r="C314" s="95" t="s">
        <v>11</v>
      </c>
      <c r="D314" s="26"/>
      <c r="E314" s="27"/>
      <c r="F314" s="6">
        <f>SUM(F315:F317)</f>
        <v>2117.633952</v>
      </c>
    </row>
    <row r="315" spans="1:6" ht="12.75" customHeight="1">
      <c r="A315" s="7" t="s">
        <v>629</v>
      </c>
      <c r="B315" s="8" t="s">
        <v>938</v>
      </c>
      <c r="C315" s="95" t="s">
        <v>102</v>
      </c>
      <c r="D315" s="26">
        <v>604.8</v>
      </c>
      <c r="E315" s="55">
        <v>792.09</v>
      </c>
      <c r="F315" s="6">
        <f>(D315*E315)/1000</f>
        <v>479.056032</v>
      </c>
    </row>
    <row r="316" spans="1:6" ht="12.75" customHeight="1">
      <c r="A316" s="7" t="s">
        <v>630</v>
      </c>
      <c r="B316" s="8" t="s">
        <v>624</v>
      </c>
      <c r="C316" s="9" t="s">
        <v>97</v>
      </c>
      <c r="D316" s="26">
        <v>2240</v>
      </c>
      <c r="E316" s="55">
        <v>258.27</v>
      </c>
      <c r="F316" s="6">
        <f>(D316*E316)/1000</f>
        <v>578.5247999999999</v>
      </c>
    </row>
    <row r="317" spans="1:6" ht="12.75" customHeight="1">
      <c r="A317" s="7" t="s">
        <v>631</v>
      </c>
      <c r="B317" s="8" t="s">
        <v>625</v>
      </c>
      <c r="C317" s="9" t="s">
        <v>102</v>
      </c>
      <c r="D317" s="26">
        <f>0.06*D316</f>
        <v>134.4</v>
      </c>
      <c r="E317" s="55">
        <v>7887.3</v>
      </c>
      <c r="F317" s="6">
        <f>(D317*E317)/1000</f>
        <v>1060.05312</v>
      </c>
    </row>
    <row r="318" spans="1:6" ht="12.75" customHeight="1">
      <c r="A318" s="7" t="s">
        <v>939</v>
      </c>
      <c r="B318" s="8" t="s">
        <v>418</v>
      </c>
      <c r="C318" s="9" t="s">
        <v>11</v>
      </c>
      <c r="D318" s="91"/>
      <c r="E318" s="27"/>
      <c r="F318" s="6">
        <f>SUM(F319:F320)</f>
        <v>1547.5622400000002</v>
      </c>
    </row>
    <row r="319" spans="1:6" ht="12.75" customHeight="1">
      <c r="A319" s="7" t="s">
        <v>940</v>
      </c>
      <c r="B319" s="8" t="s">
        <v>858</v>
      </c>
      <c r="C319" s="9" t="s">
        <v>97</v>
      </c>
      <c r="D319" s="91">
        <f>11200*0.8</f>
        <v>8960</v>
      </c>
      <c r="E319" s="27">
        <v>93.51</v>
      </c>
      <c r="F319" s="6">
        <f>(D319*E319)/1000</f>
        <v>837.8496000000001</v>
      </c>
    </row>
    <row r="320" spans="1:6" ht="12.75" customHeight="1">
      <c r="A320" s="7" t="s">
        <v>941</v>
      </c>
      <c r="B320" s="8" t="s">
        <v>938</v>
      </c>
      <c r="C320" s="9" t="s">
        <v>102</v>
      </c>
      <c r="D320" s="91">
        <f>D319*0.1</f>
        <v>896</v>
      </c>
      <c r="E320" s="55">
        <v>792.09</v>
      </c>
      <c r="F320" s="6">
        <f>(D320*E320)/1000</f>
        <v>709.71264</v>
      </c>
    </row>
    <row r="321" spans="1:6" ht="12.75" customHeight="1">
      <c r="A321" s="7" t="s">
        <v>461</v>
      </c>
      <c r="B321" s="8" t="s">
        <v>1031</v>
      </c>
      <c r="C321" s="9" t="s">
        <v>11</v>
      </c>
      <c r="D321" s="76">
        <v>0.5</v>
      </c>
      <c r="E321" s="141">
        <f>SUM(F314,F318)</f>
        <v>3665.1961920000003</v>
      </c>
      <c r="F321" s="6">
        <f>E321*D321/100</f>
        <v>18.325980960000003</v>
      </c>
    </row>
    <row r="322" spans="1:6" ht="12.75" customHeight="1">
      <c r="A322" s="7" t="s">
        <v>462</v>
      </c>
      <c r="B322" s="8" t="s">
        <v>290</v>
      </c>
      <c r="C322" s="9" t="s">
        <v>87</v>
      </c>
      <c r="D322" s="26">
        <v>2</v>
      </c>
      <c r="E322" s="27">
        <f>SUM(F308,F314,F318,F321)</f>
        <v>4543.728369960001</v>
      </c>
      <c r="F322" s="6">
        <f>(E322*D322/100)</f>
        <v>90.87456739920002</v>
      </c>
    </row>
    <row r="323" spans="1:6" ht="12.75" customHeight="1">
      <c r="A323" s="7" t="s">
        <v>244</v>
      </c>
      <c r="B323" s="8" t="s">
        <v>1003</v>
      </c>
      <c r="C323" s="9" t="s">
        <v>11</v>
      </c>
      <c r="D323" s="26"/>
      <c r="E323" s="27"/>
      <c r="F323" s="6">
        <f>SUM(F324+F328+F331+F335+F338+F339)</f>
        <v>25921.651201416007</v>
      </c>
    </row>
    <row r="324" spans="1:6" ht="12.75" customHeight="1">
      <c r="A324" s="7" t="s">
        <v>463</v>
      </c>
      <c r="B324" s="8" t="s">
        <v>490</v>
      </c>
      <c r="C324" s="9" t="s">
        <v>11</v>
      </c>
      <c r="D324" s="26" t="s">
        <v>288</v>
      </c>
      <c r="E324" s="27"/>
      <c r="F324" s="6">
        <f>SUM(F325:F326)</f>
        <v>0</v>
      </c>
    </row>
    <row r="325" spans="1:6" ht="12.75" customHeight="1">
      <c r="A325" s="7" t="s">
        <v>464</v>
      </c>
      <c r="B325" s="8" t="s">
        <v>96</v>
      </c>
      <c r="C325" s="9" t="s">
        <v>97</v>
      </c>
      <c r="D325" s="91"/>
      <c r="E325" s="55"/>
      <c r="F325" s="6">
        <f>(D325*E325)/1000</f>
        <v>0</v>
      </c>
    </row>
    <row r="326" spans="1:6" ht="12.75" customHeight="1">
      <c r="A326" s="7" t="s">
        <v>465</v>
      </c>
      <c r="B326" s="8" t="s">
        <v>326</v>
      </c>
      <c r="C326" s="9" t="s">
        <v>97</v>
      </c>
      <c r="D326" s="91"/>
      <c r="E326" s="55"/>
      <c r="F326" s="6">
        <f>(D326*E326)/1000</f>
        <v>0</v>
      </c>
    </row>
    <row r="327" spans="1:6" ht="12.75" customHeight="1">
      <c r="A327" s="7" t="s">
        <v>466</v>
      </c>
      <c r="B327" s="8" t="s">
        <v>100</v>
      </c>
      <c r="C327" s="9" t="s">
        <v>992</v>
      </c>
      <c r="D327" s="91"/>
      <c r="E327" s="55"/>
      <c r="F327" s="6">
        <f>SUM(F328:F330)</f>
        <v>1321.052932</v>
      </c>
    </row>
    <row r="328" spans="1:6" ht="12.75" customHeight="1">
      <c r="A328" s="7" t="s">
        <v>466</v>
      </c>
      <c r="B328" s="8" t="s">
        <v>504</v>
      </c>
      <c r="C328" s="9" t="s">
        <v>239</v>
      </c>
      <c r="D328" s="91">
        <v>8950</v>
      </c>
      <c r="E328" s="55">
        <v>46.71</v>
      </c>
      <c r="F328" s="6">
        <f>(D328*E328)/1000</f>
        <v>418.0545</v>
      </c>
    </row>
    <row r="329" spans="1:6" ht="12.75" customHeight="1">
      <c r="A329" s="7" t="s">
        <v>989</v>
      </c>
      <c r="B329" s="8" t="s">
        <v>991</v>
      </c>
      <c r="C329" s="9" t="s">
        <v>46</v>
      </c>
      <c r="D329" s="26">
        <v>604.8</v>
      </c>
      <c r="E329" s="55">
        <v>792.09</v>
      </c>
      <c r="F329" s="6">
        <f>E329*D329/1000</f>
        <v>479.056032</v>
      </c>
    </row>
    <row r="330" spans="1:6" ht="12.75" customHeight="1">
      <c r="A330" s="7" t="s">
        <v>990</v>
      </c>
      <c r="B330" s="8" t="s">
        <v>516</v>
      </c>
      <c r="C330" s="9" t="s">
        <v>46</v>
      </c>
      <c r="D330" s="26">
        <v>2240</v>
      </c>
      <c r="E330" s="55">
        <v>189.26</v>
      </c>
      <c r="F330" s="6">
        <f>E330*D330/1000</f>
        <v>423.94239999999996</v>
      </c>
    </row>
    <row r="331" spans="1:6" ht="12.75" customHeight="1">
      <c r="A331" s="7" t="s">
        <v>467</v>
      </c>
      <c r="B331" s="8" t="s">
        <v>284</v>
      </c>
      <c r="C331" s="95" t="s">
        <v>11</v>
      </c>
      <c r="D331" s="26"/>
      <c r="E331" s="27"/>
      <c r="F331" s="6">
        <f>SUM(F332:F334)</f>
        <v>14369.65896</v>
      </c>
    </row>
    <row r="332" spans="1:6" ht="12.75" customHeight="1">
      <c r="A332" s="7" t="s">
        <v>626</v>
      </c>
      <c r="B332" s="8" t="s">
        <v>938</v>
      </c>
      <c r="C332" s="95" t="s">
        <v>102</v>
      </c>
      <c r="D332" s="26">
        <v>4104</v>
      </c>
      <c r="E332" s="55">
        <v>792.09</v>
      </c>
      <c r="F332" s="6">
        <f>(D332*E332)/1000</f>
        <v>3250.7373600000005</v>
      </c>
    </row>
    <row r="333" spans="1:6" ht="12.75" customHeight="1">
      <c r="A333" s="7" t="s">
        <v>627</v>
      </c>
      <c r="B333" s="8" t="s">
        <v>624</v>
      </c>
      <c r="C333" s="9" t="s">
        <v>97</v>
      </c>
      <c r="D333" s="26">
        <f>76000*0.2</f>
        <v>15200</v>
      </c>
      <c r="E333" s="55">
        <v>258.27</v>
      </c>
      <c r="F333" s="6">
        <f>(D333*E333)/1000</f>
        <v>3925.7039999999997</v>
      </c>
    </row>
    <row r="334" spans="1:6" ht="12.75" customHeight="1">
      <c r="A334" s="7" t="s">
        <v>628</v>
      </c>
      <c r="B334" s="8" t="s">
        <v>625</v>
      </c>
      <c r="C334" s="9" t="s">
        <v>102</v>
      </c>
      <c r="D334" s="26">
        <f>0.06*D333</f>
        <v>912</v>
      </c>
      <c r="E334" s="55">
        <v>7887.3</v>
      </c>
      <c r="F334" s="6">
        <f>(D334*E334)/1000</f>
        <v>7193.217600000001</v>
      </c>
    </row>
    <row r="335" spans="1:9" ht="12.75" customHeight="1">
      <c r="A335" s="7" t="s">
        <v>859</v>
      </c>
      <c r="B335" s="8" t="s">
        <v>418</v>
      </c>
      <c r="C335" s="9" t="s">
        <v>11</v>
      </c>
      <c r="D335" s="91"/>
      <c r="E335" s="27"/>
      <c r="F335" s="6">
        <f>SUM(F336:F337)</f>
        <v>10501.315200000001</v>
      </c>
      <c r="I335" s="12"/>
    </row>
    <row r="336" spans="1:9" ht="12.75" customHeight="1">
      <c r="A336" s="7" t="s">
        <v>860</v>
      </c>
      <c r="B336" s="8" t="s">
        <v>858</v>
      </c>
      <c r="C336" s="9" t="s">
        <v>97</v>
      </c>
      <c r="D336" s="91">
        <f>76000*0.8</f>
        <v>60800</v>
      </c>
      <c r="E336" s="27">
        <v>93.51</v>
      </c>
      <c r="F336" s="6">
        <f>(D336*E336)/1000</f>
        <v>5685.408</v>
      </c>
      <c r="I336" s="12"/>
    </row>
    <row r="337" spans="1:9" ht="12.75" customHeight="1">
      <c r="A337" s="7" t="s">
        <v>861</v>
      </c>
      <c r="B337" s="8" t="s">
        <v>925</v>
      </c>
      <c r="C337" s="9" t="s">
        <v>102</v>
      </c>
      <c r="D337" s="91">
        <f>D336*0.1</f>
        <v>6080</v>
      </c>
      <c r="E337" s="55">
        <v>792.09</v>
      </c>
      <c r="F337" s="6">
        <f>(D337*E337)/1000</f>
        <v>4815.907200000001</v>
      </c>
      <c r="I337" s="12"/>
    </row>
    <row r="338" spans="1:6" ht="12.75" customHeight="1">
      <c r="A338" s="7" t="s">
        <v>468</v>
      </c>
      <c r="B338" s="8" t="s">
        <v>245</v>
      </c>
      <c r="C338" s="9" t="s">
        <v>11</v>
      </c>
      <c r="D338" s="76">
        <v>0.5</v>
      </c>
      <c r="E338" s="141">
        <f>SUM(F331,F335)</f>
        <v>24870.97416</v>
      </c>
      <c r="F338" s="6">
        <f>E338*D338/100</f>
        <v>124.35487080000001</v>
      </c>
    </row>
    <row r="339" spans="1:6" ht="12.75" customHeight="1">
      <c r="A339" s="7" t="s">
        <v>469</v>
      </c>
      <c r="B339" s="8" t="s">
        <v>290</v>
      </c>
      <c r="C339" s="9" t="s">
        <v>87</v>
      </c>
      <c r="D339" s="26">
        <v>2</v>
      </c>
      <c r="E339" s="27">
        <f>SUM(F328,F331,F335,F338)</f>
        <v>25413.383530800005</v>
      </c>
      <c r="F339" s="6">
        <f>E339*D339/100</f>
        <v>508.2676706160001</v>
      </c>
    </row>
    <row r="340" spans="1:9" ht="12.75" customHeight="1">
      <c r="A340" s="7" t="s">
        <v>125</v>
      </c>
      <c r="B340" s="8" t="s">
        <v>316</v>
      </c>
      <c r="C340" s="5" t="s">
        <v>11</v>
      </c>
      <c r="D340" s="26"/>
      <c r="E340" s="27"/>
      <c r="F340" s="6">
        <f>SUM(F341,F387,F402)</f>
        <v>1290674.05182602</v>
      </c>
      <c r="I340" s="92"/>
    </row>
    <row r="341" spans="1:9" ht="12.75" customHeight="1">
      <c r="A341" s="7" t="s">
        <v>126</v>
      </c>
      <c r="B341" s="8" t="s">
        <v>1005</v>
      </c>
      <c r="C341" s="5" t="s">
        <v>11</v>
      </c>
      <c r="D341" s="26"/>
      <c r="E341" s="27"/>
      <c r="F341" s="6">
        <f>SUM(F342,F346,F353,F357,F385,F386)</f>
        <v>720437.1385415001</v>
      </c>
      <c r="I341" s="92"/>
    </row>
    <row r="342" spans="1:6" ht="12.75" customHeight="1">
      <c r="A342" s="7" t="s">
        <v>127</v>
      </c>
      <c r="B342" s="8" t="s">
        <v>94</v>
      </c>
      <c r="C342" s="5" t="s">
        <v>11</v>
      </c>
      <c r="D342" s="26"/>
      <c r="E342" s="27"/>
      <c r="F342" s="6">
        <f>SUM(F343:F345)</f>
        <v>23217.49865</v>
      </c>
    </row>
    <row r="343" spans="1:6" ht="12.75" customHeight="1">
      <c r="A343" s="7" t="s">
        <v>128</v>
      </c>
      <c r="B343" s="8" t="s">
        <v>96</v>
      </c>
      <c r="C343" s="9" t="s">
        <v>97</v>
      </c>
      <c r="D343" s="26">
        <v>256730</v>
      </c>
      <c r="E343" s="55">
        <v>9.24</v>
      </c>
      <c r="F343" s="6">
        <f>(D343*E343)/1000</f>
        <v>2372.1852000000003</v>
      </c>
    </row>
    <row r="344" spans="1:6" ht="12.75" customHeight="1">
      <c r="A344" s="7" t="s">
        <v>129</v>
      </c>
      <c r="B344" s="8" t="s">
        <v>326</v>
      </c>
      <c r="C344" s="9" t="s">
        <v>97</v>
      </c>
      <c r="D344" s="26">
        <f>883625-D345</f>
        <v>726067</v>
      </c>
      <c r="E344" s="55">
        <v>21.87</v>
      </c>
      <c r="F344" s="6">
        <f>(D344*E344)/1000</f>
        <v>15879.08529</v>
      </c>
    </row>
    <row r="345" spans="1:6" ht="12.75" customHeight="1">
      <c r="A345" s="7" t="s">
        <v>604</v>
      </c>
      <c r="B345" s="8" t="s">
        <v>603</v>
      </c>
      <c r="C345" s="9" t="s">
        <v>97</v>
      </c>
      <c r="D345" s="26">
        <v>157558</v>
      </c>
      <c r="E345" s="55">
        <v>31.52</v>
      </c>
      <c r="F345" s="6">
        <f>(D345*E345)/1000</f>
        <v>4966.228160000001</v>
      </c>
    </row>
    <row r="346" spans="1:6" ht="12.75" customHeight="1">
      <c r="A346" s="7" t="s">
        <v>130</v>
      </c>
      <c r="B346" s="8" t="s">
        <v>100</v>
      </c>
      <c r="C346" s="9" t="s">
        <v>239</v>
      </c>
      <c r="D346" s="26"/>
      <c r="E346" s="55"/>
      <c r="F346" s="6">
        <f>SUM(F347:F350)</f>
        <v>5514.687233500001</v>
      </c>
    </row>
    <row r="347" spans="1:6" ht="12.75" customHeight="1">
      <c r="A347" s="7" t="s">
        <v>605</v>
      </c>
      <c r="B347" s="8" t="s">
        <v>504</v>
      </c>
      <c r="C347" s="9" t="s">
        <v>123</v>
      </c>
      <c r="D347" s="26">
        <v>33385</v>
      </c>
      <c r="E347" s="55">
        <v>46.71</v>
      </c>
      <c r="F347" s="6">
        <f>(D347*E347)/1000</f>
        <v>1559.41335</v>
      </c>
    </row>
    <row r="348" spans="1:6" ht="12.75" customHeight="1">
      <c r="A348" s="7" t="s">
        <v>606</v>
      </c>
      <c r="B348" s="8" t="s">
        <v>974</v>
      </c>
      <c r="C348" s="9" t="s">
        <v>46</v>
      </c>
      <c r="D348" s="26">
        <v>1825</v>
      </c>
      <c r="E348" s="55">
        <v>223.94</v>
      </c>
      <c r="F348" s="6">
        <f>(D348*E348)/1000</f>
        <v>408.6905</v>
      </c>
    </row>
    <row r="349" spans="1:6" ht="12.75" customHeight="1">
      <c r="A349" s="7" t="s">
        <v>607</v>
      </c>
      <c r="B349" s="8" t="s">
        <v>586</v>
      </c>
      <c r="C349" s="9" t="s">
        <v>46</v>
      </c>
      <c r="D349" s="26">
        <v>1630</v>
      </c>
      <c r="E349" s="55">
        <v>111.97</v>
      </c>
      <c r="F349" s="6">
        <f>(D349*E349)/1000</f>
        <v>182.5111</v>
      </c>
    </row>
    <row r="350" spans="1:6" ht="12.75" customHeight="1">
      <c r="A350" s="7" t="s">
        <v>608</v>
      </c>
      <c r="B350" s="8" t="s">
        <v>516</v>
      </c>
      <c r="C350" s="9" t="s">
        <v>11</v>
      </c>
      <c r="D350" s="26"/>
      <c r="E350" s="55"/>
      <c r="F350" s="6">
        <f>SUM(F351:F352)</f>
        <v>3364.0722835</v>
      </c>
    </row>
    <row r="351" spans="1:6" ht="12.75" customHeight="1">
      <c r="A351" s="7" t="s">
        <v>862</v>
      </c>
      <c r="B351" s="8" t="s">
        <v>864</v>
      </c>
      <c r="C351" s="9" t="s">
        <v>97</v>
      </c>
      <c r="D351" s="26">
        <v>8345</v>
      </c>
      <c r="E351" s="55">
        <v>189.26</v>
      </c>
      <c r="F351" s="6">
        <f>(D351*E351)/1000</f>
        <v>1579.3746999999998</v>
      </c>
    </row>
    <row r="352" spans="1:6" ht="12.75" customHeight="1">
      <c r="A352" s="7" t="s">
        <v>863</v>
      </c>
      <c r="B352" s="8" t="s">
        <v>925</v>
      </c>
      <c r="C352" s="9" t="s">
        <v>102</v>
      </c>
      <c r="D352" s="26">
        <v>2253.15</v>
      </c>
      <c r="E352" s="55">
        <v>792.09</v>
      </c>
      <c r="F352" s="6">
        <f>(D352*E352)/1000</f>
        <v>1784.6975835000003</v>
      </c>
    </row>
    <row r="353" spans="1:6" ht="12.75" customHeight="1">
      <c r="A353" s="7" t="s">
        <v>246</v>
      </c>
      <c r="B353" s="8" t="s">
        <v>284</v>
      </c>
      <c r="C353" s="5" t="s">
        <v>11</v>
      </c>
      <c r="D353" s="26"/>
      <c r="E353" s="27"/>
      <c r="F353" s="6">
        <f>SUM(F354:F356)</f>
        <v>580598.522658</v>
      </c>
    </row>
    <row r="354" spans="1:6" ht="12.75" customHeight="1">
      <c r="A354" s="7" t="s">
        <v>247</v>
      </c>
      <c r="B354" s="8" t="s">
        <v>624</v>
      </c>
      <c r="C354" s="9" t="s">
        <v>97</v>
      </c>
      <c r="D354" s="26">
        <v>614460</v>
      </c>
      <c r="E354" s="55">
        <v>257.79</v>
      </c>
      <c r="F354" s="6">
        <f>(D354*E354)/1000</f>
        <v>158401.6434</v>
      </c>
    </row>
    <row r="355" spans="1:6" ht="12.75" customHeight="1">
      <c r="A355" s="7" t="s">
        <v>248</v>
      </c>
      <c r="B355" s="8" t="s">
        <v>938</v>
      </c>
      <c r="C355" s="9" t="s">
        <v>102</v>
      </c>
      <c r="D355" s="26">
        <f>0.27*D354</f>
        <v>165904.2</v>
      </c>
      <c r="E355" s="55">
        <v>792.09</v>
      </c>
      <c r="F355" s="6">
        <f>(D355*E355)/1000</f>
        <v>131411.05777800002</v>
      </c>
    </row>
    <row r="356" spans="1:6" ht="12.75" customHeight="1">
      <c r="A356" s="7" t="s">
        <v>249</v>
      </c>
      <c r="B356" s="8" t="s">
        <v>625</v>
      </c>
      <c r="C356" s="9" t="s">
        <v>102</v>
      </c>
      <c r="D356" s="26">
        <f>0.06*D354</f>
        <v>36867.6</v>
      </c>
      <c r="E356" s="55">
        <v>7887.3</v>
      </c>
      <c r="F356" s="6">
        <f>(D356*E356)/1000</f>
        <v>290785.82148000004</v>
      </c>
    </row>
    <row r="357" spans="1:6" ht="12.75" customHeight="1">
      <c r="A357" s="7" t="s">
        <v>250</v>
      </c>
      <c r="B357" s="4" t="s">
        <v>111</v>
      </c>
      <c r="C357" s="5" t="s">
        <v>11</v>
      </c>
      <c r="D357" s="26"/>
      <c r="E357" s="27"/>
      <c r="F357" s="6">
        <f>SUM(F358,F362,F378,F382:F384)</f>
        <v>111106.43</v>
      </c>
    </row>
    <row r="358" spans="1:6" ht="12.75" customHeight="1">
      <c r="A358" s="7" t="s">
        <v>251</v>
      </c>
      <c r="B358" s="8" t="s">
        <v>912</v>
      </c>
      <c r="C358" s="5" t="s">
        <v>113</v>
      </c>
      <c r="D358" s="26"/>
      <c r="E358" s="27"/>
      <c r="F358" s="6">
        <f>SUM(F359:F361)</f>
        <v>79296</v>
      </c>
    </row>
    <row r="359" spans="1:8" ht="12.75" customHeight="1">
      <c r="A359" s="7" t="s">
        <v>252</v>
      </c>
      <c r="B359" s="8" t="s">
        <v>112</v>
      </c>
      <c r="C359" s="9" t="s">
        <v>113</v>
      </c>
      <c r="D359" s="26">
        <v>21</v>
      </c>
      <c r="E359" s="27">
        <v>3200000</v>
      </c>
      <c r="F359" s="6">
        <f>D359*E359/1000</f>
        <v>67200</v>
      </c>
      <c r="H359" s="118"/>
    </row>
    <row r="360" spans="1:8" ht="12.75" customHeight="1">
      <c r="A360" s="7" t="s">
        <v>253</v>
      </c>
      <c r="B360" s="8" t="s">
        <v>114</v>
      </c>
      <c r="C360" s="9" t="s">
        <v>11</v>
      </c>
      <c r="D360" s="26"/>
      <c r="E360" s="27"/>
      <c r="F360" s="6">
        <f>F359*0.08</f>
        <v>5376</v>
      </c>
      <c r="H360" s="109"/>
    </row>
    <row r="361" spans="1:6" ht="12.75" customHeight="1">
      <c r="A361" s="7" t="s">
        <v>254</v>
      </c>
      <c r="B361" s="8" t="s">
        <v>115</v>
      </c>
      <c r="C361" s="9" t="s">
        <v>11</v>
      </c>
      <c r="D361" s="26"/>
      <c r="E361" s="27"/>
      <c r="F361" s="6">
        <f>F359*0.1</f>
        <v>6720</v>
      </c>
    </row>
    <row r="362" spans="1:6" ht="12.75" customHeight="1">
      <c r="A362" s="7" t="s">
        <v>255</v>
      </c>
      <c r="B362" s="75" t="s">
        <v>865</v>
      </c>
      <c r="C362" s="5" t="s">
        <v>11</v>
      </c>
      <c r="D362" s="26"/>
      <c r="E362" s="27"/>
      <c r="F362" s="6">
        <f>F363+F368+F373</f>
        <v>21555</v>
      </c>
    </row>
    <row r="363" spans="1:6" ht="12.75" customHeight="1">
      <c r="A363" s="7" t="s">
        <v>376</v>
      </c>
      <c r="B363" s="75" t="s">
        <v>377</v>
      </c>
      <c r="C363" s="5" t="s">
        <v>11</v>
      </c>
      <c r="D363" s="26"/>
      <c r="E363" s="96"/>
      <c r="F363" s="6">
        <f>SUM(F364:F367)</f>
        <v>14570</v>
      </c>
    </row>
    <row r="364" spans="1:8" ht="12.75" customHeight="1">
      <c r="A364" s="7" t="s">
        <v>381</v>
      </c>
      <c r="B364" s="8" t="s">
        <v>378</v>
      </c>
      <c r="C364" s="9" t="s">
        <v>113</v>
      </c>
      <c r="D364" s="108">
        <v>5</v>
      </c>
      <c r="E364" s="73">
        <v>2300000</v>
      </c>
      <c r="F364" s="72">
        <f>D364*E364/1000</f>
        <v>11500</v>
      </c>
      <c r="H364" s="12"/>
    </row>
    <row r="365" spans="1:8" ht="12.75" customHeight="1">
      <c r="A365" s="7" t="s">
        <v>382</v>
      </c>
      <c r="B365" s="8" t="s">
        <v>379</v>
      </c>
      <c r="C365" s="9" t="s">
        <v>11</v>
      </c>
      <c r="D365" s="26"/>
      <c r="E365" s="27"/>
      <c r="F365" s="6">
        <f>F364*0.08</f>
        <v>920</v>
      </c>
      <c r="H365" s="12"/>
    </row>
    <row r="366" spans="1:6" ht="12.75" customHeight="1">
      <c r="A366" s="7" t="s">
        <v>383</v>
      </c>
      <c r="B366" s="8" t="s">
        <v>380</v>
      </c>
      <c r="C366" s="9" t="s">
        <v>11</v>
      </c>
      <c r="D366" s="26"/>
      <c r="E366" s="27"/>
      <c r="F366" s="6">
        <f>F364*0.1</f>
        <v>1150</v>
      </c>
    </row>
    <row r="367" spans="1:6" ht="12.75" customHeight="1">
      <c r="A367" s="7" t="s">
        <v>419</v>
      </c>
      <c r="B367" s="8" t="s">
        <v>420</v>
      </c>
      <c r="C367" s="9" t="s">
        <v>113</v>
      </c>
      <c r="D367" s="26">
        <v>10</v>
      </c>
      <c r="E367" s="27">
        <v>100000</v>
      </c>
      <c r="F367" s="6">
        <f>D367*E367/1000</f>
        <v>1000</v>
      </c>
    </row>
    <row r="368" spans="1:6" ht="12.75" customHeight="1">
      <c r="A368" s="7" t="s">
        <v>384</v>
      </c>
      <c r="B368" s="75" t="s">
        <v>866</v>
      </c>
      <c r="C368" s="9" t="s">
        <v>11</v>
      </c>
      <c r="D368" s="26"/>
      <c r="E368" s="27"/>
      <c r="F368" s="6">
        <f>SUM(F369:F372)</f>
        <v>4885</v>
      </c>
    </row>
    <row r="369" spans="1:6" ht="12.75" customHeight="1">
      <c r="A369" s="7" t="s">
        <v>385</v>
      </c>
      <c r="B369" s="8" t="s">
        <v>378</v>
      </c>
      <c r="C369" s="9" t="s">
        <v>113</v>
      </c>
      <c r="D369" s="108">
        <v>5</v>
      </c>
      <c r="E369" s="99">
        <v>650000</v>
      </c>
      <c r="F369" s="97">
        <f>D369*E369/1000</f>
        <v>3250</v>
      </c>
    </row>
    <row r="370" spans="1:6" ht="12.75" customHeight="1">
      <c r="A370" s="7" t="s">
        <v>386</v>
      </c>
      <c r="B370" s="8" t="s">
        <v>379</v>
      </c>
      <c r="C370" s="9" t="s">
        <v>11</v>
      </c>
      <c r="D370" s="26"/>
      <c r="E370" s="27"/>
      <c r="F370" s="6">
        <f>F369*0.08</f>
        <v>260</v>
      </c>
    </row>
    <row r="371" spans="1:6" ht="12.75" customHeight="1">
      <c r="A371" s="7" t="s">
        <v>387</v>
      </c>
      <c r="B371" s="8" t="s">
        <v>380</v>
      </c>
      <c r="C371" s="9" t="s">
        <v>11</v>
      </c>
      <c r="D371" s="26"/>
      <c r="E371" s="27"/>
      <c r="F371" s="6">
        <f>F369*0.1</f>
        <v>325</v>
      </c>
    </row>
    <row r="372" spans="1:6" ht="12.75" customHeight="1">
      <c r="A372" s="7" t="s">
        <v>421</v>
      </c>
      <c r="B372" s="8" t="s">
        <v>420</v>
      </c>
      <c r="C372" s="9" t="s">
        <v>113</v>
      </c>
      <c r="D372" s="26">
        <v>21</v>
      </c>
      <c r="E372" s="27">
        <v>50000</v>
      </c>
      <c r="F372" s="6">
        <f>E372*D372/1000</f>
        <v>1050</v>
      </c>
    </row>
    <row r="373" spans="1:6" ht="12.75" customHeight="1">
      <c r="A373" s="7" t="s">
        <v>867</v>
      </c>
      <c r="B373" s="75" t="s">
        <v>868</v>
      </c>
      <c r="C373" s="9" t="s">
        <v>11</v>
      </c>
      <c r="D373" s="26"/>
      <c r="E373" s="27"/>
      <c r="F373" s="6">
        <f>SUM(F374:F377)</f>
        <v>2100</v>
      </c>
    </row>
    <row r="374" spans="1:6" ht="12.75" customHeight="1">
      <c r="A374" s="7" t="s">
        <v>869</v>
      </c>
      <c r="B374" s="8" t="s">
        <v>378</v>
      </c>
      <c r="C374" s="9" t="s">
        <v>113</v>
      </c>
      <c r="D374" s="108"/>
      <c r="E374" s="73"/>
      <c r="F374" s="72">
        <f>D374*E374/1000</f>
        <v>0</v>
      </c>
    </row>
    <row r="375" spans="1:6" ht="12.75" customHeight="1">
      <c r="A375" s="7" t="s">
        <v>870</v>
      </c>
      <c r="B375" s="8" t="s">
        <v>379</v>
      </c>
      <c r="C375" s="9" t="s">
        <v>11</v>
      </c>
      <c r="D375" s="26"/>
      <c r="E375" s="27"/>
      <c r="F375" s="6">
        <f>0.071*F374</f>
        <v>0</v>
      </c>
    </row>
    <row r="376" spans="1:6" ht="12.75" customHeight="1">
      <c r="A376" s="7" t="s">
        <v>871</v>
      </c>
      <c r="B376" s="8" t="s">
        <v>380</v>
      </c>
      <c r="C376" s="9" t="s">
        <v>11</v>
      </c>
      <c r="D376" s="26"/>
      <c r="E376" s="27"/>
      <c r="F376" s="6">
        <v>0</v>
      </c>
    </row>
    <row r="377" spans="1:6" ht="12.75" customHeight="1">
      <c r="A377" s="7" t="s">
        <v>872</v>
      </c>
      <c r="B377" s="8" t="s">
        <v>420</v>
      </c>
      <c r="C377" s="9" t="s">
        <v>113</v>
      </c>
      <c r="D377" s="26">
        <v>21</v>
      </c>
      <c r="E377" s="27">
        <v>100000</v>
      </c>
      <c r="F377" s="6">
        <f>D377*E377/1000</f>
        <v>2100</v>
      </c>
    </row>
    <row r="378" spans="1:6" ht="12.75" customHeight="1">
      <c r="A378" s="7" t="s">
        <v>256</v>
      </c>
      <c r="B378" s="8" t="s">
        <v>873</v>
      </c>
      <c r="C378" s="5" t="s">
        <v>113</v>
      </c>
      <c r="D378" s="26"/>
      <c r="E378" s="27"/>
      <c r="F378" s="6">
        <f>SUM(F379:F381)</f>
        <v>1122.4</v>
      </c>
    </row>
    <row r="379" spans="1:6" ht="12.75" customHeight="1">
      <c r="A379" s="7" t="s">
        <v>257</v>
      </c>
      <c r="B379" s="8" t="s">
        <v>112</v>
      </c>
      <c r="C379" s="9" t="s">
        <v>113</v>
      </c>
      <c r="D379" s="26">
        <v>1</v>
      </c>
      <c r="E379" s="73">
        <v>920000</v>
      </c>
      <c r="F379" s="6">
        <f>(D379*E379)/1000</f>
        <v>920</v>
      </c>
    </row>
    <row r="380" spans="1:11" ht="12.75" customHeight="1">
      <c r="A380" s="7" t="s">
        <v>258</v>
      </c>
      <c r="B380" s="8" t="s">
        <v>114</v>
      </c>
      <c r="C380" s="9" t="s">
        <v>11</v>
      </c>
      <c r="D380" s="26"/>
      <c r="E380" s="27"/>
      <c r="F380" s="6">
        <f>F379*0.1</f>
        <v>92</v>
      </c>
      <c r="K380" s="74"/>
    </row>
    <row r="381" spans="1:6" ht="12.75" customHeight="1">
      <c r="A381" s="7" t="s">
        <v>259</v>
      </c>
      <c r="B381" s="8" t="s">
        <v>115</v>
      </c>
      <c r="C381" s="9" t="s">
        <v>11</v>
      </c>
      <c r="D381" s="26"/>
      <c r="E381" s="27"/>
      <c r="F381" s="6">
        <f>F379*0.12</f>
        <v>110.39999999999999</v>
      </c>
    </row>
    <row r="382" spans="1:6" ht="12.75" customHeight="1">
      <c r="A382" s="7" t="s">
        <v>874</v>
      </c>
      <c r="B382" s="8" t="s">
        <v>875</v>
      </c>
      <c r="C382" s="9" t="s">
        <v>11</v>
      </c>
      <c r="D382" s="26"/>
      <c r="E382" s="27"/>
      <c r="F382" s="6">
        <v>2484.64</v>
      </c>
    </row>
    <row r="383" spans="1:6" ht="12.75" customHeight="1">
      <c r="A383" s="7" t="s">
        <v>876</v>
      </c>
      <c r="B383" s="8" t="s">
        <v>878</v>
      </c>
      <c r="C383" s="9" t="s">
        <v>11</v>
      </c>
      <c r="D383" s="26"/>
      <c r="E383" s="27"/>
      <c r="F383" s="6">
        <v>723.29</v>
      </c>
    </row>
    <row r="384" spans="1:6" ht="12.75" customHeight="1">
      <c r="A384" s="7" t="s">
        <v>877</v>
      </c>
      <c r="B384" s="8" t="s">
        <v>879</v>
      </c>
      <c r="C384" s="9" t="s">
        <v>11</v>
      </c>
      <c r="D384" s="26"/>
      <c r="E384" s="27"/>
      <c r="F384" s="6">
        <v>5925.1</v>
      </c>
    </row>
    <row r="385" spans="1:6" ht="12.75" customHeight="1">
      <c r="A385" s="7" t="s">
        <v>260</v>
      </c>
      <c r="B385" s="8" t="s">
        <v>245</v>
      </c>
      <c r="C385" s="9" t="s">
        <v>11</v>
      </c>
      <c r="D385" s="26" t="s">
        <v>288</v>
      </c>
      <c r="E385" s="27"/>
      <c r="F385" s="29"/>
    </row>
    <row r="386" spans="1:6" ht="12.75" customHeight="1">
      <c r="A386" s="7" t="s">
        <v>261</v>
      </c>
      <c r="B386" s="75" t="s">
        <v>290</v>
      </c>
      <c r="C386" s="9" t="s">
        <v>87</v>
      </c>
      <c r="D386" s="26"/>
      <c r="E386" s="27"/>
      <c r="F386" s="6">
        <f>SUM(F342,F346,F353,F357,F385)*D386/100</f>
        <v>0</v>
      </c>
    </row>
    <row r="387" spans="1:6" ht="12.75" customHeight="1">
      <c r="A387" s="7" t="s">
        <v>302</v>
      </c>
      <c r="B387" s="8" t="s">
        <v>303</v>
      </c>
      <c r="C387" s="9" t="s">
        <v>11</v>
      </c>
      <c r="D387" s="26"/>
      <c r="E387" s="27"/>
      <c r="F387" s="29">
        <f>SUM(F388,F394,F401)</f>
        <v>365123.62340221996</v>
      </c>
    </row>
    <row r="388" spans="1:6" ht="12.75" customHeight="1">
      <c r="A388" s="7" t="s">
        <v>304</v>
      </c>
      <c r="B388" s="8" t="s">
        <v>94</v>
      </c>
      <c r="C388" s="5" t="s">
        <v>11</v>
      </c>
      <c r="D388" s="26"/>
      <c r="E388" s="27"/>
      <c r="F388" s="6">
        <f>SUM(F389:F393)</f>
        <v>322072.43949</v>
      </c>
    </row>
    <row r="389" spans="1:6" ht="12.75" customHeight="1">
      <c r="A389" s="7" t="s">
        <v>305</v>
      </c>
      <c r="B389" s="8" t="s">
        <v>730</v>
      </c>
      <c r="C389" s="9" t="s">
        <v>97</v>
      </c>
      <c r="D389" s="26">
        <v>367760</v>
      </c>
      <c r="E389" s="55">
        <v>9.24</v>
      </c>
      <c r="F389" s="6">
        <f>(D389*E389)/1000</f>
        <v>3398.1023999999998</v>
      </c>
    </row>
    <row r="390" spans="1:6" ht="12.75" customHeight="1">
      <c r="A390" s="7" t="s">
        <v>306</v>
      </c>
      <c r="B390" s="8" t="s">
        <v>96</v>
      </c>
      <c r="C390" s="9" t="s">
        <v>97</v>
      </c>
      <c r="D390" s="26">
        <v>6908150</v>
      </c>
      <c r="E390" s="55">
        <v>9.24</v>
      </c>
      <c r="F390" s="6">
        <f>(D390*E390)/1000</f>
        <v>63831.306</v>
      </c>
    </row>
    <row r="391" spans="1:6" ht="12.75" customHeight="1">
      <c r="A391" s="7" t="s">
        <v>611</v>
      </c>
      <c r="B391" s="8" t="s">
        <v>731</v>
      </c>
      <c r="C391" s="9" t="s">
        <v>97</v>
      </c>
      <c r="D391" s="26">
        <v>1389880</v>
      </c>
      <c r="E391" s="55">
        <v>21.87</v>
      </c>
      <c r="F391" s="6">
        <f>(D391*E391)/1000</f>
        <v>30396.675600000002</v>
      </c>
    </row>
    <row r="392" spans="1:6" ht="12.75" customHeight="1">
      <c r="A392" s="7" t="s">
        <v>728</v>
      </c>
      <c r="B392" s="8" t="s">
        <v>124</v>
      </c>
      <c r="C392" s="9" t="s">
        <v>97</v>
      </c>
      <c r="D392" s="26">
        <f>9368172-D393</f>
        <v>8889707</v>
      </c>
      <c r="E392" s="55">
        <v>21.87</v>
      </c>
      <c r="F392" s="6">
        <f>(D392*E392)/1000</f>
        <v>194417.89209</v>
      </c>
    </row>
    <row r="393" spans="1:6" ht="12.75" customHeight="1">
      <c r="A393" s="7" t="s">
        <v>729</v>
      </c>
      <c r="B393" s="8" t="s">
        <v>609</v>
      </c>
      <c r="C393" s="9" t="s">
        <v>97</v>
      </c>
      <c r="D393" s="26">
        <v>478465</v>
      </c>
      <c r="E393" s="55">
        <v>62.76</v>
      </c>
      <c r="F393" s="6">
        <f>(D393*E393)/1000</f>
        <v>30028.463399999997</v>
      </c>
    </row>
    <row r="394" spans="1:6" ht="12.75" customHeight="1">
      <c r="A394" s="7" t="s">
        <v>307</v>
      </c>
      <c r="B394" s="8" t="s">
        <v>512</v>
      </c>
      <c r="C394" s="5" t="s">
        <v>11</v>
      </c>
      <c r="D394" s="26"/>
      <c r="E394" s="55"/>
      <c r="F394" s="6">
        <f>SUM(F395:F400)</f>
        <v>39436.098532</v>
      </c>
    </row>
    <row r="395" spans="1:6" ht="12.75" customHeight="1">
      <c r="A395" s="7" t="s">
        <v>612</v>
      </c>
      <c r="B395" s="8" t="s">
        <v>511</v>
      </c>
      <c r="C395" s="9" t="s">
        <v>97</v>
      </c>
      <c r="D395" s="26">
        <v>38830</v>
      </c>
      <c r="E395" s="55">
        <v>14.54</v>
      </c>
      <c r="F395" s="6">
        <f aca="true" t="shared" si="2" ref="F395:F400">(D395*E395)/1000</f>
        <v>564.5881999999999</v>
      </c>
    </row>
    <row r="396" spans="1:8" ht="12.75" customHeight="1">
      <c r="A396" s="7" t="s">
        <v>613</v>
      </c>
      <c r="B396" s="8" t="s">
        <v>956</v>
      </c>
      <c r="C396" s="9" t="s">
        <v>102</v>
      </c>
      <c r="D396" s="26">
        <v>18194.8</v>
      </c>
      <c r="E396" s="55">
        <v>792.09</v>
      </c>
      <c r="F396" s="6">
        <f t="shared" si="2"/>
        <v>14411.919131999999</v>
      </c>
      <c r="H396" s="93"/>
    </row>
    <row r="397" spans="1:8" ht="12.75" customHeight="1">
      <c r="A397" s="7" t="s">
        <v>614</v>
      </c>
      <c r="B397" s="8" t="s">
        <v>971</v>
      </c>
      <c r="C397" s="9" t="s">
        <v>123</v>
      </c>
      <c r="D397" s="26">
        <v>34990</v>
      </c>
      <c r="E397" s="55">
        <v>63</v>
      </c>
      <c r="F397" s="6">
        <f t="shared" si="2"/>
        <v>2204.37</v>
      </c>
      <c r="H397" s="93"/>
    </row>
    <row r="398" spans="1:6" ht="12.75" customHeight="1">
      <c r="A398" s="7" t="s">
        <v>615</v>
      </c>
      <c r="B398" s="8" t="s">
        <v>507</v>
      </c>
      <c r="C398" s="9" t="s">
        <v>123</v>
      </c>
      <c r="D398" s="26">
        <v>12360</v>
      </c>
      <c r="E398" s="55">
        <v>21</v>
      </c>
      <c r="F398" s="6">
        <f t="shared" si="2"/>
        <v>259.56</v>
      </c>
    </row>
    <row r="399" spans="1:6" ht="12.75" customHeight="1">
      <c r="A399" s="7" t="s">
        <v>616</v>
      </c>
      <c r="B399" s="8" t="s">
        <v>508</v>
      </c>
      <c r="C399" s="9" t="s">
        <v>46</v>
      </c>
      <c r="D399" s="26">
        <v>102130</v>
      </c>
      <c r="E399" s="55">
        <v>201.56</v>
      </c>
      <c r="F399" s="6">
        <f t="shared" si="2"/>
        <v>20585.3228</v>
      </c>
    </row>
    <row r="400" spans="1:6" ht="12.75" customHeight="1">
      <c r="A400" s="7" t="s">
        <v>943</v>
      </c>
      <c r="B400" s="8" t="s">
        <v>509</v>
      </c>
      <c r="C400" s="9" t="s">
        <v>46</v>
      </c>
      <c r="D400" s="26">
        <v>5640</v>
      </c>
      <c r="E400" s="55">
        <v>250.06</v>
      </c>
      <c r="F400" s="6">
        <f t="shared" si="2"/>
        <v>1410.3383999999999</v>
      </c>
    </row>
    <row r="401" spans="1:6" ht="12.75" customHeight="1">
      <c r="A401" s="7" t="s">
        <v>314</v>
      </c>
      <c r="B401" s="8" t="s">
        <v>290</v>
      </c>
      <c r="C401" s="9" t="s">
        <v>87</v>
      </c>
      <c r="D401" s="26">
        <v>1</v>
      </c>
      <c r="E401" s="27"/>
      <c r="F401" s="6">
        <f>SUM(F388,F394)*D401/100</f>
        <v>3615.08538022</v>
      </c>
    </row>
    <row r="402" spans="1:6" ht="12.75" customHeight="1">
      <c r="A402" s="7" t="s">
        <v>308</v>
      </c>
      <c r="B402" s="8" t="s">
        <v>309</v>
      </c>
      <c r="C402" s="9" t="s">
        <v>11</v>
      </c>
      <c r="D402" s="26"/>
      <c r="E402" s="27"/>
      <c r="F402" s="29">
        <f>SUM(F403,F409,F416)</f>
        <v>205113.2898823</v>
      </c>
    </row>
    <row r="403" spans="1:6" ht="12.75" customHeight="1">
      <c r="A403" s="7" t="s">
        <v>310</v>
      </c>
      <c r="B403" s="8" t="s">
        <v>94</v>
      </c>
      <c r="C403" s="5" t="s">
        <v>11</v>
      </c>
      <c r="D403" s="26"/>
      <c r="E403" s="27"/>
      <c r="F403" s="6">
        <f>SUM(F404:F408)</f>
        <v>191863.11123</v>
      </c>
    </row>
    <row r="404" spans="1:6" ht="12.75" customHeight="1">
      <c r="A404" s="7" t="s">
        <v>311</v>
      </c>
      <c r="B404" s="8" t="s">
        <v>730</v>
      </c>
      <c r="C404" s="9" t="s">
        <v>97</v>
      </c>
      <c r="D404" s="26">
        <v>339470</v>
      </c>
      <c r="E404" s="55">
        <v>9.24</v>
      </c>
      <c r="F404" s="6">
        <f>(D404*E404)/1000</f>
        <v>3136.7028000000005</v>
      </c>
    </row>
    <row r="405" spans="1:6" ht="12.75" customHeight="1">
      <c r="A405" s="7" t="s">
        <v>312</v>
      </c>
      <c r="B405" s="8" t="s">
        <v>96</v>
      </c>
      <c r="C405" s="9" t="s">
        <v>97</v>
      </c>
      <c r="D405" s="26">
        <v>1605855</v>
      </c>
      <c r="E405" s="55">
        <v>9.24</v>
      </c>
      <c r="F405" s="6">
        <f>(D405*E405)/1000</f>
        <v>14838.1002</v>
      </c>
    </row>
    <row r="406" spans="1:8" ht="12.75" customHeight="1">
      <c r="A406" s="7" t="s">
        <v>610</v>
      </c>
      <c r="B406" s="8" t="s">
        <v>731</v>
      </c>
      <c r="C406" s="9" t="s">
        <v>97</v>
      </c>
      <c r="D406" s="26">
        <v>1048505</v>
      </c>
      <c r="E406" s="55">
        <v>21.87</v>
      </c>
      <c r="F406" s="6">
        <f>(D406*E406)/1000</f>
        <v>22930.804350000002</v>
      </c>
      <c r="H406" s="94"/>
    </row>
    <row r="407" spans="1:8" ht="12.75" customHeight="1">
      <c r="A407" s="7" t="s">
        <v>732</v>
      </c>
      <c r="B407" s="8" t="s">
        <v>124</v>
      </c>
      <c r="C407" s="9" t="s">
        <v>97</v>
      </c>
      <c r="D407" s="26">
        <f>4269150-D408</f>
        <v>2860708</v>
      </c>
      <c r="E407" s="55">
        <v>21.87</v>
      </c>
      <c r="F407" s="6">
        <f>(D407*E407)/1000</f>
        <v>62563.68396</v>
      </c>
      <c r="H407" s="128"/>
    </row>
    <row r="408" spans="1:8" ht="12.75" customHeight="1">
      <c r="A408" s="7" t="s">
        <v>733</v>
      </c>
      <c r="B408" s="8" t="s">
        <v>609</v>
      </c>
      <c r="C408" s="9" t="s">
        <v>97</v>
      </c>
      <c r="D408" s="26">
        <f>1088652+319790</f>
        <v>1408442</v>
      </c>
      <c r="E408" s="55">
        <v>62.76</v>
      </c>
      <c r="F408" s="6">
        <f>(D408*E408)/1000</f>
        <v>88393.81992000001</v>
      </c>
      <c r="H408" s="128"/>
    </row>
    <row r="409" spans="1:8" ht="12.75" customHeight="1">
      <c r="A409" s="7" t="s">
        <v>313</v>
      </c>
      <c r="B409" s="8" t="s">
        <v>512</v>
      </c>
      <c r="C409" s="5" t="s">
        <v>11</v>
      </c>
      <c r="D409" s="26"/>
      <c r="E409" s="55"/>
      <c r="F409" s="6">
        <f>SUM(F410:F415)</f>
        <v>11219.353999999998</v>
      </c>
      <c r="H409" s="94"/>
    </row>
    <row r="410" spans="1:8" ht="12.75" customHeight="1">
      <c r="A410" s="7" t="s">
        <v>617</v>
      </c>
      <c r="B410" s="8" t="s">
        <v>511</v>
      </c>
      <c r="C410" s="9" t="s">
        <v>97</v>
      </c>
      <c r="D410" s="26">
        <v>45150</v>
      </c>
      <c r="E410" s="55">
        <v>14.54</v>
      </c>
      <c r="F410" s="6">
        <f>(D410*E410)/1000</f>
        <v>656.481</v>
      </c>
      <c r="H410" s="94"/>
    </row>
    <row r="411" spans="1:8" ht="12.75" customHeight="1">
      <c r="A411" s="7" t="s">
        <v>950</v>
      </c>
      <c r="B411" s="8" t="s">
        <v>956</v>
      </c>
      <c r="C411" s="9" t="s">
        <v>102</v>
      </c>
      <c r="D411" s="26">
        <v>4940</v>
      </c>
      <c r="E411" s="55">
        <v>792.09</v>
      </c>
      <c r="F411" s="6">
        <f>(D413*E411)/1000</f>
        <v>7524.855</v>
      </c>
      <c r="H411" s="94"/>
    </row>
    <row r="412" spans="1:8" ht="12.75" customHeight="1">
      <c r="A412" s="7" t="s">
        <v>951</v>
      </c>
      <c r="B412" s="8" t="s">
        <v>971</v>
      </c>
      <c r="C412" s="9" t="s">
        <v>123</v>
      </c>
      <c r="D412" s="26">
        <v>9500</v>
      </c>
      <c r="E412" s="55">
        <v>63</v>
      </c>
      <c r="F412" s="6">
        <f>(D411*E412)/1000</f>
        <v>311.22</v>
      </c>
      <c r="H412" s="94"/>
    </row>
    <row r="413" spans="1:6" ht="12.75" customHeight="1">
      <c r="A413" s="7" t="s">
        <v>952</v>
      </c>
      <c r="B413" s="8" t="s">
        <v>507</v>
      </c>
      <c r="C413" s="9" t="s">
        <v>123</v>
      </c>
      <c r="D413" s="26">
        <v>9500</v>
      </c>
      <c r="E413" s="55">
        <v>64.11</v>
      </c>
      <c r="F413" s="6">
        <f>(D412*E413)/1000</f>
        <v>609.045</v>
      </c>
    </row>
    <row r="414" spans="1:6" ht="12.75" customHeight="1">
      <c r="A414" s="7" t="s">
        <v>953</v>
      </c>
      <c r="B414" s="8" t="s">
        <v>508</v>
      </c>
      <c r="C414" s="9" t="s">
        <v>46</v>
      </c>
      <c r="D414" s="26">
        <v>10085</v>
      </c>
      <c r="E414" s="55">
        <v>201.56</v>
      </c>
      <c r="F414" s="6">
        <f>(D414*E414)/1000</f>
        <v>2032.7326</v>
      </c>
    </row>
    <row r="415" spans="1:8" ht="12.75" customHeight="1">
      <c r="A415" s="7" t="s">
        <v>954</v>
      </c>
      <c r="B415" s="8" t="s">
        <v>509</v>
      </c>
      <c r="C415" s="9" t="s">
        <v>46</v>
      </c>
      <c r="D415" s="26">
        <v>340</v>
      </c>
      <c r="E415" s="55">
        <v>250.06</v>
      </c>
      <c r="F415" s="6">
        <f>(D415*E415)/1000</f>
        <v>85.0204</v>
      </c>
      <c r="H415" s="12"/>
    </row>
    <row r="416" spans="1:6" ht="12.75" customHeight="1">
      <c r="A416" s="7" t="s">
        <v>315</v>
      </c>
      <c r="B416" s="8" t="s">
        <v>290</v>
      </c>
      <c r="C416" s="9" t="s">
        <v>87</v>
      </c>
      <c r="D416" s="26">
        <v>1</v>
      </c>
      <c r="E416" s="27"/>
      <c r="F416" s="6">
        <f>SUM(F403,F409)*D416/100</f>
        <v>2030.8246523</v>
      </c>
    </row>
    <row r="417" spans="1:6" ht="12.75" customHeight="1">
      <c r="A417" s="7" t="s">
        <v>131</v>
      </c>
      <c r="B417" s="8" t="s">
        <v>132</v>
      </c>
      <c r="C417" s="5" t="s">
        <v>11</v>
      </c>
      <c r="D417" s="26"/>
      <c r="E417" s="27"/>
      <c r="F417" s="6">
        <f>SUM(F418,F452,F467)</f>
        <v>1112932.0933518</v>
      </c>
    </row>
    <row r="418" spans="1:6" ht="12.75" customHeight="1">
      <c r="A418" s="7" t="s">
        <v>133</v>
      </c>
      <c r="B418" s="8" t="s">
        <v>262</v>
      </c>
      <c r="C418" s="9" t="s">
        <v>11</v>
      </c>
      <c r="D418" s="26"/>
      <c r="E418" s="27"/>
      <c r="F418" s="6">
        <f>SUM(F419,F423,F427,F431,F450:F451)</f>
        <v>713712.184103</v>
      </c>
    </row>
    <row r="419" spans="1:6" ht="12.75" customHeight="1">
      <c r="A419" s="7" t="s">
        <v>134</v>
      </c>
      <c r="B419" s="28" t="s">
        <v>94</v>
      </c>
      <c r="C419" s="9" t="s">
        <v>11</v>
      </c>
      <c r="D419" s="26"/>
      <c r="E419" s="27"/>
      <c r="F419" s="6">
        <f>SUM(F420:F422)</f>
        <v>32226.806474999998</v>
      </c>
    </row>
    <row r="420" spans="1:6" ht="12.75" customHeight="1">
      <c r="A420" s="7" t="s">
        <v>135</v>
      </c>
      <c r="B420" s="8" t="s">
        <v>96</v>
      </c>
      <c r="C420" s="9" t="s">
        <v>97</v>
      </c>
      <c r="D420" s="26">
        <v>109630</v>
      </c>
      <c r="E420" s="55">
        <v>9.24</v>
      </c>
      <c r="F420" s="6">
        <f>(D420*E420)/1000</f>
        <v>1012.9812000000001</v>
      </c>
    </row>
    <row r="421" spans="1:6" ht="12.75" customHeight="1">
      <c r="A421" s="7" t="s">
        <v>136</v>
      </c>
      <c r="B421" s="8" t="s">
        <v>326</v>
      </c>
      <c r="C421" s="9" t="s">
        <v>97</v>
      </c>
      <c r="D421" s="26">
        <f>1291770-D422</f>
        <v>984742.5</v>
      </c>
      <c r="E421" s="55">
        <v>21.87</v>
      </c>
      <c r="F421" s="6">
        <f>(D421*E421)/1000</f>
        <v>21536.318475</v>
      </c>
    </row>
    <row r="422" spans="1:6" ht="12.75" customHeight="1">
      <c r="A422" s="7" t="s">
        <v>618</v>
      </c>
      <c r="B422" s="8" t="s">
        <v>515</v>
      </c>
      <c r="C422" s="9" t="s">
        <v>97</v>
      </c>
      <c r="D422" s="26">
        <v>307027.5</v>
      </c>
      <c r="E422" s="55">
        <v>31.52</v>
      </c>
      <c r="F422" s="6">
        <f>(D422*E422)/1000</f>
        <v>9677.506800000001</v>
      </c>
    </row>
    <row r="423" spans="1:6" ht="12.75" customHeight="1">
      <c r="A423" s="7" t="s">
        <v>137</v>
      </c>
      <c r="B423" s="8" t="s">
        <v>100</v>
      </c>
      <c r="C423" s="9" t="s">
        <v>11</v>
      </c>
      <c r="D423" s="26"/>
      <c r="E423" s="55"/>
      <c r="F423" s="6">
        <f>SUM(F424:F426)</f>
        <v>2613.542</v>
      </c>
    </row>
    <row r="424" spans="1:6" ht="12.75" customHeight="1">
      <c r="A424" s="7" t="s">
        <v>642</v>
      </c>
      <c r="B424" s="8" t="s">
        <v>504</v>
      </c>
      <c r="C424" s="9" t="s">
        <v>123</v>
      </c>
      <c r="D424" s="26">
        <v>23795</v>
      </c>
      <c r="E424" s="55">
        <v>46.71</v>
      </c>
      <c r="F424" s="6">
        <f>(D424*E424)/1000</f>
        <v>1111.46445</v>
      </c>
    </row>
    <row r="425" spans="1:6" ht="12.75" customHeight="1">
      <c r="A425" s="7" t="s">
        <v>643</v>
      </c>
      <c r="B425" s="8" t="s">
        <v>974</v>
      </c>
      <c r="C425" s="9" t="s">
        <v>46</v>
      </c>
      <c r="D425" s="26">
        <v>4870</v>
      </c>
      <c r="E425" s="55">
        <v>223.94</v>
      </c>
      <c r="F425" s="6">
        <f>(D425*E425)/1000</f>
        <v>1090.5878</v>
      </c>
    </row>
    <row r="426" spans="1:6" ht="12.75" customHeight="1">
      <c r="A426" s="7" t="s">
        <v>644</v>
      </c>
      <c r="B426" s="8" t="s">
        <v>586</v>
      </c>
      <c r="C426" s="9" t="s">
        <v>46</v>
      </c>
      <c r="D426" s="26">
        <v>3675</v>
      </c>
      <c r="E426" s="55">
        <v>111.97</v>
      </c>
      <c r="F426" s="6">
        <f>(D426*E426)/1000</f>
        <v>411.48975</v>
      </c>
    </row>
    <row r="427" spans="1:6" ht="12.75" customHeight="1">
      <c r="A427" s="7" t="s">
        <v>233</v>
      </c>
      <c r="B427" s="8" t="s">
        <v>101</v>
      </c>
      <c r="C427" s="9" t="s">
        <v>11</v>
      </c>
      <c r="D427" s="26"/>
      <c r="E427" s="27"/>
      <c r="F427" s="6">
        <f>SUM(F428:F430)</f>
        <v>465463.505628</v>
      </c>
    </row>
    <row r="428" spans="1:6" ht="12.75" customHeight="1">
      <c r="A428" s="7" t="s">
        <v>231</v>
      </c>
      <c r="B428" s="8" t="s">
        <v>103</v>
      </c>
      <c r="C428" s="9" t="s">
        <v>97</v>
      </c>
      <c r="D428" s="26">
        <v>492360</v>
      </c>
      <c r="E428" s="55">
        <v>258.27</v>
      </c>
      <c r="F428" s="6">
        <f>(D428*E428)/1000</f>
        <v>127161.81719999999</v>
      </c>
    </row>
    <row r="429" spans="1:6" ht="12.75" customHeight="1">
      <c r="A429" s="7" t="s">
        <v>229</v>
      </c>
      <c r="B429" s="119" t="s">
        <v>944</v>
      </c>
      <c r="C429" s="9" t="s">
        <v>102</v>
      </c>
      <c r="D429" s="26">
        <f>0.27*D428</f>
        <v>132937.2</v>
      </c>
      <c r="E429" s="55">
        <v>792.09</v>
      </c>
      <c r="F429" s="6">
        <f>(D429*E429)/1000</f>
        <v>105298.22674800002</v>
      </c>
    </row>
    <row r="430" spans="1:6" ht="12.75" customHeight="1">
      <c r="A430" s="7" t="s">
        <v>230</v>
      </c>
      <c r="B430" s="8" t="s">
        <v>104</v>
      </c>
      <c r="C430" s="9" t="s">
        <v>102</v>
      </c>
      <c r="D430" s="26">
        <f>0.06*D428</f>
        <v>29541.6</v>
      </c>
      <c r="E430" s="55">
        <v>7887.3</v>
      </c>
      <c r="F430" s="6">
        <f>(D430*E430)/1000</f>
        <v>233003.46168</v>
      </c>
    </row>
    <row r="431" spans="1:6" ht="12.75" customHeight="1">
      <c r="A431" s="3" t="s">
        <v>138</v>
      </c>
      <c r="B431" s="4" t="s">
        <v>111</v>
      </c>
      <c r="C431" s="5" t="s">
        <v>11</v>
      </c>
      <c r="D431" s="26"/>
      <c r="E431" s="27"/>
      <c r="F431" s="6">
        <f>SUM(F432,F437,F441,F446:F448,F449)</f>
        <v>213408.33</v>
      </c>
    </row>
    <row r="432" spans="1:6" ht="12.75" customHeight="1">
      <c r="A432" s="7" t="s">
        <v>139</v>
      </c>
      <c r="B432" s="75" t="s">
        <v>890</v>
      </c>
      <c r="C432" s="5" t="s">
        <v>11</v>
      </c>
      <c r="D432" s="26"/>
      <c r="E432" s="27"/>
      <c r="F432" s="6">
        <f>SUM(F433:F436)</f>
        <v>46880</v>
      </c>
    </row>
    <row r="433" spans="1:6" ht="12.75" customHeight="1">
      <c r="A433" s="7" t="s">
        <v>140</v>
      </c>
      <c r="B433" s="8" t="s">
        <v>112</v>
      </c>
      <c r="C433" s="9" t="s">
        <v>113</v>
      </c>
      <c r="D433" s="108">
        <v>48</v>
      </c>
      <c r="E433" s="96">
        <v>750000</v>
      </c>
      <c r="F433" s="72">
        <f>D433*E433/1000</f>
        <v>36000</v>
      </c>
    </row>
    <row r="434" spans="1:6" ht="12.75" customHeight="1">
      <c r="A434" s="7" t="s">
        <v>141</v>
      </c>
      <c r="B434" s="8" t="s">
        <v>114</v>
      </c>
      <c r="C434" s="9" t="s">
        <v>11</v>
      </c>
      <c r="D434" s="26"/>
      <c r="E434" s="96"/>
      <c r="F434" s="6">
        <f>F433*0.08</f>
        <v>2880</v>
      </c>
    </row>
    <row r="435" spans="1:6" ht="12.75" customHeight="1">
      <c r="A435" s="7" t="s">
        <v>142</v>
      </c>
      <c r="B435" s="8" t="s">
        <v>115</v>
      </c>
      <c r="C435" s="9" t="s">
        <v>11</v>
      </c>
      <c r="D435" s="26"/>
      <c r="E435" s="96"/>
      <c r="F435" s="6">
        <f>F433*0.1</f>
        <v>3600</v>
      </c>
    </row>
    <row r="436" spans="1:6" ht="12.75" customHeight="1">
      <c r="A436" s="7" t="s">
        <v>422</v>
      </c>
      <c r="B436" s="8" t="s">
        <v>423</v>
      </c>
      <c r="C436" s="9" t="s">
        <v>113</v>
      </c>
      <c r="D436" s="26">
        <v>88</v>
      </c>
      <c r="E436" s="96">
        <v>50000</v>
      </c>
      <c r="F436" s="6">
        <f>E436*D436/1000</f>
        <v>4400</v>
      </c>
    </row>
    <row r="437" spans="1:6" ht="12.75" customHeight="1">
      <c r="A437" s="7" t="s">
        <v>143</v>
      </c>
      <c r="B437" s="75" t="s">
        <v>955</v>
      </c>
      <c r="C437" s="5" t="s">
        <v>11</v>
      </c>
      <c r="D437" s="26"/>
      <c r="E437" s="96"/>
      <c r="F437" s="72">
        <f>SUM(F438:F440)</f>
        <v>1836</v>
      </c>
    </row>
    <row r="438" spans="1:6" ht="12.75" customHeight="1">
      <c r="A438" s="7" t="s">
        <v>144</v>
      </c>
      <c r="B438" s="8" t="s">
        <v>112</v>
      </c>
      <c r="C438" s="9" t="s">
        <v>113</v>
      </c>
      <c r="D438" s="26">
        <v>3</v>
      </c>
      <c r="E438" s="73">
        <v>510000</v>
      </c>
      <c r="F438" s="72">
        <f>D438*E438/1000</f>
        <v>1530</v>
      </c>
    </row>
    <row r="439" spans="1:6" ht="12.75" customHeight="1">
      <c r="A439" s="7" t="s">
        <v>145</v>
      </c>
      <c r="B439" s="8" t="s">
        <v>114</v>
      </c>
      <c r="C439" s="9" t="s">
        <v>11</v>
      </c>
      <c r="D439" s="26"/>
      <c r="E439" s="27"/>
      <c r="F439" s="6">
        <f>F438*0.08</f>
        <v>122.4</v>
      </c>
    </row>
    <row r="440" spans="1:6" ht="12.75" customHeight="1">
      <c r="A440" s="7" t="s">
        <v>146</v>
      </c>
      <c r="B440" s="8" t="s">
        <v>115</v>
      </c>
      <c r="C440" s="9" t="s">
        <v>11</v>
      </c>
      <c r="D440" s="26"/>
      <c r="E440" s="27"/>
      <c r="F440" s="6">
        <f>F438*0.12</f>
        <v>183.6</v>
      </c>
    </row>
    <row r="441" spans="1:6" ht="12.75" customHeight="1">
      <c r="A441" s="7" t="s">
        <v>147</v>
      </c>
      <c r="B441" s="8" t="s">
        <v>891</v>
      </c>
      <c r="C441" s="5" t="s">
        <v>11</v>
      </c>
      <c r="D441" s="26"/>
      <c r="E441" s="27"/>
      <c r="F441" s="6">
        <f>SUM(F442:F445)</f>
        <v>38174.4</v>
      </c>
    </row>
    <row r="442" spans="1:6" ht="12.75" customHeight="1">
      <c r="A442" s="7" t="s">
        <v>148</v>
      </c>
      <c r="B442" s="8" t="s">
        <v>112</v>
      </c>
      <c r="C442" s="9" t="s">
        <v>113</v>
      </c>
      <c r="D442" s="26">
        <v>176</v>
      </c>
      <c r="E442" s="27">
        <v>155000</v>
      </c>
      <c r="F442" s="6">
        <f>D442*E442/1000</f>
        <v>27280</v>
      </c>
    </row>
    <row r="443" spans="1:10" ht="12.75" customHeight="1">
      <c r="A443" s="7" t="s">
        <v>149</v>
      </c>
      <c r="B443" s="8" t="s">
        <v>114</v>
      </c>
      <c r="C443" s="9" t="s">
        <v>11</v>
      </c>
      <c r="D443" s="26"/>
      <c r="E443" s="27"/>
      <c r="F443" s="6">
        <f>F442*0.08</f>
        <v>2182.4</v>
      </c>
      <c r="J443" s="15" t="s">
        <v>280</v>
      </c>
    </row>
    <row r="444" spans="1:6" ht="12.75" customHeight="1">
      <c r="A444" s="7" t="s">
        <v>150</v>
      </c>
      <c r="B444" s="8" t="s">
        <v>115</v>
      </c>
      <c r="C444" s="9" t="s">
        <v>11</v>
      </c>
      <c r="D444" s="26"/>
      <c r="E444" s="27"/>
      <c r="F444" s="6">
        <f>F442*0.1</f>
        <v>2728</v>
      </c>
    </row>
    <row r="445" spans="1:6" ht="12.75" customHeight="1">
      <c r="A445" s="7" t="s">
        <v>888</v>
      </c>
      <c r="B445" s="8" t="s">
        <v>889</v>
      </c>
      <c r="C445" s="9" t="s">
        <v>113</v>
      </c>
      <c r="D445" s="26">
        <v>176</v>
      </c>
      <c r="E445" s="27">
        <v>34000</v>
      </c>
      <c r="F445" s="6">
        <f>D445*E445/1000</f>
        <v>5984</v>
      </c>
    </row>
    <row r="446" spans="1:6" ht="12.75" customHeight="1">
      <c r="A446" s="7" t="s">
        <v>880</v>
      </c>
      <c r="B446" s="8" t="s">
        <v>883</v>
      </c>
      <c r="C446" s="5" t="s">
        <v>11</v>
      </c>
      <c r="D446" s="26"/>
      <c r="E446" s="27"/>
      <c r="F446" s="6">
        <v>2823.1</v>
      </c>
    </row>
    <row r="447" spans="1:6" ht="12.75" customHeight="1">
      <c r="A447" s="7" t="s">
        <v>881</v>
      </c>
      <c r="B447" s="8" t="s">
        <v>878</v>
      </c>
      <c r="C447" s="5" t="s">
        <v>11</v>
      </c>
      <c r="D447" s="26"/>
      <c r="E447" s="27"/>
      <c r="F447" s="6">
        <v>336.93</v>
      </c>
    </row>
    <row r="448" spans="1:6" ht="12.75" customHeight="1">
      <c r="A448" s="7" t="s">
        <v>882</v>
      </c>
      <c r="B448" s="8" t="s">
        <v>913</v>
      </c>
      <c r="C448" s="5" t="s">
        <v>11</v>
      </c>
      <c r="D448" s="26"/>
      <c r="E448" s="27"/>
      <c r="F448" s="6">
        <v>3357.9</v>
      </c>
    </row>
    <row r="449" spans="1:6" ht="12.75" customHeight="1">
      <c r="A449" s="7" t="s">
        <v>961</v>
      </c>
      <c r="B449" s="8" t="s">
        <v>975</v>
      </c>
      <c r="C449" s="5" t="s">
        <v>11</v>
      </c>
      <c r="D449" s="26"/>
      <c r="E449" s="27"/>
      <c r="F449" s="6">
        <v>120000</v>
      </c>
    </row>
    <row r="450" spans="1:6" ht="12.75" customHeight="1">
      <c r="A450" s="179" t="s">
        <v>263</v>
      </c>
      <c r="B450" s="102" t="s">
        <v>245</v>
      </c>
      <c r="C450" s="165" t="s">
        <v>11</v>
      </c>
      <c r="D450" s="180"/>
      <c r="E450" s="181"/>
      <c r="F450" s="97">
        <f>(D450*E450)/1000</f>
        <v>0</v>
      </c>
    </row>
    <row r="451" spans="1:6" ht="12.75" customHeight="1">
      <c r="A451" s="7" t="s">
        <v>264</v>
      </c>
      <c r="B451" s="8" t="s">
        <v>290</v>
      </c>
      <c r="C451" s="9" t="s">
        <v>87</v>
      </c>
      <c r="D451" s="26"/>
      <c r="E451" s="27"/>
      <c r="F451" s="6">
        <f>SUM(F419,F423,F427,F431,F450)*D451/100</f>
        <v>0</v>
      </c>
    </row>
    <row r="452" spans="1:6" ht="12.75" customHeight="1">
      <c r="A452" s="7" t="s">
        <v>237</v>
      </c>
      <c r="B452" s="8" t="s">
        <v>285</v>
      </c>
      <c r="C452" s="9" t="s">
        <v>11</v>
      </c>
      <c r="D452" s="26"/>
      <c r="E452" s="27"/>
      <c r="F452" s="6">
        <f>SUM(F453,F458:F459,F466)</f>
        <v>272064.64542868006</v>
      </c>
    </row>
    <row r="453" spans="1:6" ht="12.75" customHeight="1">
      <c r="A453" s="7" t="s">
        <v>234</v>
      </c>
      <c r="B453" s="8" t="s">
        <v>94</v>
      </c>
      <c r="C453" s="9" t="s">
        <v>11</v>
      </c>
      <c r="D453" s="26"/>
      <c r="E453" s="27"/>
      <c r="F453" s="6">
        <f>SUM(F454:F457)</f>
        <v>266076.17286000005</v>
      </c>
    </row>
    <row r="454" spans="1:6" ht="12.75" customHeight="1">
      <c r="A454" s="7" t="s">
        <v>235</v>
      </c>
      <c r="B454" s="8" t="s">
        <v>734</v>
      </c>
      <c r="C454" s="9" t="s">
        <v>97</v>
      </c>
      <c r="D454" s="26">
        <v>397165</v>
      </c>
      <c r="E454" s="55">
        <v>9.24</v>
      </c>
      <c r="F454" s="6">
        <f>(D454*E454)/1000</f>
        <v>3669.8046</v>
      </c>
    </row>
    <row r="455" spans="1:6" ht="12.75" customHeight="1">
      <c r="A455" s="7" t="s">
        <v>238</v>
      </c>
      <c r="B455" s="8" t="s">
        <v>96</v>
      </c>
      <c r="C455" s="9" t="s">
        <v>97</v>
      </c>
      <c r="D455" s="26">
        <v>3860046</v>
      </c>
      <c r="E455" s="55">
        <v>9.24</v>
      </c>
      <c r="F455" s="6">
        <f>(D455*E455)/1000</f>
        <v>35666.825039999996</v>
      </c>
    </row>
    <row r="456" spans="1:6" ht="12.75" customHeight="1">
      <c r="A456" s="7" t="s">
        <v>736</v>
      </c>
      <c r="B456" s="8" t="s">
        <v>735</v>
      </c>
      <c r="C456" s="9" t="s">
        <v>97</v>
      </c>
      <c r="D456" s="26">
        <v>5575311</v>
      </c>
      <c r="E456" s="55">
        <v>21.87</v>
      </c>
      <c r="F456" s="6">
        <f>(D456*E456)/1000</f>
        <v>121932.05157000001</v>
      </c>
    </row>
    <row r="457" spans="1:6" ht="12.75" customHeight="1">
      <c r="A457" s="7" t="s">
        <v>737</v>
      </c>
      <c r="B457" s="8" t="s">
        <v>124</v>
      </c>
      <c r="C457" s="9" t="s">
        <v>97</v>
      </c>
      <c r="D457" s="26">
        <v>4792295</v>
      </c>
      <c r="E457" s="55">
        <v>21.87</v>
      </c>
      <c r="F457" s="6">
        <f>(D457*E457)/1000</f>
        <v>104807.49165000001</v>
      </c>
    </row>
    <row r="458" spans="1:6" ht="12.75" customHeight="1">
      <c r="A458" s="7" t="s">
        <v>236</v>
      </c>
      <c r="B458" s="8" t="s">
        <v>100</v>
      </c>
      <c r="C458" s="9" t="s">
        <v>239</v>
      </c>
      <c r="D458" s="26"/>
      <c r="E458" s="55"/>
      <c r="F458" s="6">
        <f>(D458*E458)/1000</f>
        <v>0</v>
      </c>
    </row>
    <row r="459" spans="1:6" ht="12.75" customHeight="1">
      <c r="A459" s="7" t="s">
        <v>265</v>
      </c>
      <c r="B459" s="8" t="s">
        <v>513</v>
      </c>
      <c r="C459" s="9" t="s">
        <v>11</v>
      </c>
      <c r="D459" s="26"/>
      <c r="E459" s="69"/>
      <c r="F459" s="6">
        <f>SUM(F460:F465)</f>
        <v>3294.763208</v>
      </c>
    </row>
    <row r="460" spans="1:6" ht="12.75" customHeight="1">
      <c r="A460" s="7" t="s">
        <v>632</v>
      </c>
      <c r="B460" s="8" t="s">
        <v>511</v>
      </c>
      <c r="C460" s="9" t="s">
        <v>97</v>
      </c>
      <c r="D460" s="26">
        <v>19460</v>
      </c>
      <c r="E460" s="55">
        <v>14.54</v>
      </c>
      <c r="F460" s="6">
        <f aca="true" t="shared" si="3" ref="F460:F465">(D460*E460)/1000</f>
        <v>282.9484</v>
      </c>
    </row>
    <row r="461" spans="1:6" ht="12.75" customHeight="1">
      <c r="A461" s="7" t="s">
        <v>633</v>
      </c>
      <c r="B461" s="8" t="s">
        <v>956</v>
      </c>
      <c r="C461" s="9" t="s">
        <v>102</v>
      </c>
      <c r="D461" s="26">
        <v>2631.2</v>
      </c>
      <c r="E461" s="55">
        <v>792.09</v>
      </c>
      <c r="F461" s="6">
        <f t="shared" si="3"/>
        <v>2084.147208</v>
      </c>
    </row>
    <row r="462" spans="1:6" ht="12.75" customHeight="1">
      <c r="A462" s="7" t="s">
        <v>634</v>
      </c>
      <c r="B462" s="8" t="s">
        <v>957</v>
      </c>
      <c r="C462" s="9" t="s">
        <v>123</v>
      </c>
      <c r="D462" s="26">
        <v>5060</v>
      </c>
      <c r="E462" s="55">
        <v>63</v>
      </c>
      <c r="F462" s="6">
        <f t="shared" si="3"/>
        <v>318.78</v>
      </c>
    </row>
    <row r="463" spans="1:6" ht="12.75" customHeight="1">
      <c r="A463" s="7" t="s">
        <v>635</v>
      </c>
      <c r="B463" s="8" t="s">
        <v>507</v>
      </c>
      <c r="C463" s="9" t="s">
        <v>123</v>
      </c>
      <c r="D463" s="26">
        <v>5060</v>
      </c>
      <c r="E463" s="55">
        <v>21</v>
      </c>
      <c r="F463" s="6">
        <f t="shared" si="3"/>
        <v>106.26</v>
      </c>
    </row>
    <row r="464" spans="1:6" s="94" customFormat="1" ht="12.75" customHeight="1">
      <c r="A464" s="7" t="s">
        <v>636</v>
      </c>
      <c r="B464" s="8" t="s">
        <v>508</v>
      </c>
      <c r="C464" s="9" t="s">
        <v>46</v>
      </c>
      <c r="D464" s="26">
        <f>1900+420</f>
        <v>2320</v>
      </c>
      <c r="E464" s="55">
        <v>201.56</v>
      </c>
      <c r="F464" s="6">
        <f t="shared" si="3"/>
        <v>467.61920000000003</v>
      </c>
    </row>
    <row r="465" spans="1:6" ht="12.75" customHeight="1">
      <c r="A465" s="7" t="s">
        <v>945</v>
      </c>
      <c r="B465" s="8" t="s">
        <v>509</v>
      </c>
      <c r="C465" s="9" t="s">
        <v>46</v>
      </c>
      <c r="D465" s="26">
        <v>140</v>
      </c>
      <c r="E465" s="55">
        <v>250.06</v>
      </c>
      <c r="F465" s="6">
        <f t="shared" si="3"/>
        <v>35.0084</v>
      </c>
    </row>
    <row r="466" spans="1:6" ht="12.75" customHeight="1">
      <c r="A466" s="7" t="s">
        <v>266</v>
      </c>
      <c r="B466" s="8" t="s">
        <v>26</v>
      </c>
      <c r="C466" s="9" t="s">
        <v>87</v>
      </c>
      <c r="D466" s="26">
        <v>1</v>
      </c>
      <c r="E466" s="27">
        <f>SUM(F459,F453)</f>
        <v>269370.93606800004</v>
      </c>
      <c r="F466" s="6">
        <f>D466*E466/100</f>
        <v>2693.7093606800004</v>
      </c>
    </row>
    <row r="467" spans="1:6" ht="12.75" customHeight="1">
      <c r="A467" s="7" t="s">
        <v>151</v>
      </c>
      <c r="B467" s="8" t="s">
        <v>152</v>
      </c>
      <c r="C467" s="9" t="s">
        <v>11</v>
      </c>
      <c r="D467" s="26"/>
      <c r="E467" s="27"/>
      <c r="F467" s="6">
        <f>SUM(F468,F473:F474,F481)</f>
        <v>127155.26382012</v>
      </c>
    </row>
    <row r="468" spans="1:6" ht="12.75" customHeight="1">
      <c r="A468" s="7" t="s">
        <v>153</v>
      </c>
      <c r="B468" s="8" t="s">
        <v>94</v>
      </c>
      <c r="C468" s="9" t="s">
        <v>11</v>
      </c>
      <c r="D468" s="26"/>
      <c r="E468" s="27"/>
      <c r="F468" s="6">
        <f>SUM(F469:F472)</f>
        <v>124227.17835</v>
      </c>
    </row>
    <row r="469" spans="1:6" ht="12.75" customHeight="1">
      <c r="A469" s="7" t="s">
        <v>154</v>
      </c>
      <c r="B469" s="8" t="s">
        <v>734</v>
      </c>
      <c r="C469" s="9" t="s">
        <v>97</v>
      </c>
      <c r="D469" s="26">
        <v>338326</v>
      </c>
      <c r="E469" s="55">
        <v>9.24</v>
      </c>
      <c r="F469" s="6">
        <f>(D469*E469)/1000</f>
        <v>3126.1322400000004</v>
      </c>
    </row>
    <row r="470" spans="1:6" ht="12.75" customHeight="1">
      <c r="A470" s="7" t="s">
        <v>155</v>
      </c>
      <c r="B470" s="8" t="s">
        <v>96</v>
      </c>
      <c r="C470" s="9" t="s">
        <v>97</v>
      </c>
      <c r="D470" s="26">
        <v>6052500</v>
      </c>
      <c r="E470" s="55">
        <v>9.24</v>
      </c>
      <c r="F470" s="6">
        <f>(D470*E470)/1000</f>
        <v>55925.1</v>
      </c>
    </row>
    <row r="471" spans="1:6" ht="12.75" customHeight="1">
      <c r="A471" s="7" t="s">
        <v>848</v>
      </c>
      <c r="B471" s="8" t="s">
        <v>735</v>
      </c>
      <c r="C471" s="9" t="s">
        <v>97</v>
      </c>
      <c r="D471" s="26">
        <v>1665353</v>
      </c>
      <c r="E471" s="55">
        <v>21.87</v>
      </c>
      <c r="F471" s="6">
        <f>(D471*E471)/1000</f>
        <v>36421.27011</v>
      </c>
    </row>
    <row r="472" spans="1:6" ht="12.75" customHeight="1">
      <c r="A472" s="7" t="s">
        <v>849</v>
      </c>
      <c r="B472" s="8" t="s">
        <v>124</v>
      </c>
      <c r="C472" s="9" t="s">
        <v>97</v>
      </c>
      <c r="D472" s="26">
        <v>1314800</v>
      </c>
      <c r="E472" s="55">
        <v>21.87</v>
      </c>
      <c r="F472" s="6">
        <f>(D472*E472)/1000</f>
        <v>28754.676</v>
      </c>
    </row>
    <row r="473" spans="1:6" ht="12.75" customHeight="1">
      <c r="A473" s="7" t="s">
        <v>267</v>
      </c>
      <c r="B473" s="8" t="s">
        <v>100</v>
      </c>
      <c r="C473" s="9" t="s">
        <v>239</v>
      </c>
      <c r="D473" s="26"/>
      <c r="E473" s="55"/>
      <c r="F473" s="6">
        <f>(D473*E473)/1000</f>
        <v>0</v>
      </c>
    </row>
    <row r="474" spans="1:6" ht="12.75" customHeight="1">
      <c r="A474" s="7" t="s">
        <v>268</v>
      </c>
      <c r="B474" s="28" t="s">
        <v>510</v>
      </c>
      <c r="C474" s="9" t="s">
        <v>11</v>
      </c>
      <c r="D474" s="26"/>
      <c r="E474" s="69"/>
      <c r="F474" s="6">
        <f>SUM(F475:F480)</f>
        <v>1669.1224620000003</v>
      </c>
    </row>
    <row r="475" spans="1:6" ht="12.75" customHeight="1">
      <c r="A475" s="7" t="s">
        <v>637</v>
      </c>
      <c r="B475" s="8" t="s">
        <v>511</v>
      </c>
      <c r="C475" s="9" t="s">
        <v>97</v>
      </c>
      <c r="D475" s="26">
        <v>22700</v>
      </c>
      <c r="E475" s="55">
        <v>14.54</v>
      </c>
      <c r="F475" s="6">
        <f aca="true" t="shared" si="4" ref="F475:F480">(D475*E475)/1000</f>
        <v>330.058</v>
      </c>
    </row>
    <row r="476" spans="1:6" ht="12.75" customHeight="1">
      <c r="A476" s="7" t="s">
        <v>638</v>
      </c>
      <c r="B476" s="8" t="s">
        <v>956</v>
      </c>
      <c r="C476" s="9" t="s">
        <v>102</v>
      </c>
      <c r="D476" s="26">
        <v>1151.8</v>
      </c>
      <c r="E476" s="55">
        <v>792.09</v>
      </c>
      <c r="F476" s="6">
        <f t="shared" si="4"/>
        <v>912.329262</v>
      </c>
    </row>
    <row r="477" spans="1:6" ht="12.75" customHeight="1">
      <c r="A477" s="7" t="s">
        <v>639</v>
      </c>
      <c r="B477" s="8" t="s">
        <v>971</v>
      </c>
      <c r="C477" s="9" t="s">
        <v>123</v>
      </c>
      <c r="D477" s="26">
        <v>2215</v>
      </c>
      <c r="E477" s="55">
        <v>63</v>
      </c>
      <c r="F477" s="6">
        <f t="shared" si="4"/>
        <v>139.545</v>
      </c>
    </row>
    <row r="478" spans="1:6" ht="12.75" customHeight="1">
      <c r="A478" s="7" t="s">
        <v>640</v>
      </c>
      <c r="B478" s="8" t="s">
        <v>507</v>
      </c>
      <c r="C478" s="9" t="s">
        <v>123</v>
      </c>
      <c r="D478" s="26">
        <v>2215</v>
      </c>
      <c r="E478" s="55">
        <v>21</v>
      </c>
      <c r="F478" s="6">
        <f t="shared" si="4"/>
        <v>46.515</v>
      </c>
    </row>
    <row r="479" spans="1:6" ht="12.75" customHeight="1">
      <c r="A479" s="7" t="s">
        <v>641</v>
      </c>
      <c r="B479" s="8" t="s">
        <v>508</v>
      </c>
      <c r="C479" s="9" t="s">
        <v>46</v>
      </c>
      <c r="D479" s="26">
        <f>830+240</f>
        <v>1070</v>
      </c>
      <c r="E479" s="55">
        <v>201.56</v>
      </c>
      <c r="F479" s="6">
        <f t="shared" si="4"/>
        <v>215.66920000000002</v>
      </c>
    </row>
    <row r="480" spans="1:6" ht="12.75" customHeight="1">
      <c r="A480" s="7" t="s">
        <v>946</v>
      </c>
      <c r="B480" s="8" t="s">
        <v>509</v>
      </c>
      <c r="C480" s="9" t="s">
        <v>46</v>
      </c>
      <c r="D480" s="26">
        <v>100</v>
      </c>
      <c r="E480" s="55">
        <v>250.06</v>
      </c>
      <c r="F480" s="6">
        <f t="shared" si="4"/>
        <v>25.006</v>
      </c>
    </row>
    <row r="481" spans="1:6" ht="12.75" customHeight="1">
      <c r="A481" s="7" t="s">
        <v>269</v>
      </c>
      <c r="B481" s="8" t="s">
        <v>290</v>
      </c>
      <c r="C481" s="9" t="s">
        <v>87</v>
      </c>
      <c r="D481" s="26">
        <v>1</v>
      </c>
      <c r="E481" s="27">
        <f>SUM(F468,F474)</f>
        <v>125896.300812</v>
      </c>
      <c r="F481" s="6">
        <f>E481*D481/100</f>
        <v>1258.96300812</v>
      </c>
    </row>
    <row r="482" spans="1:6" ht="12.75" customHeight="1">
      <c r="A482" s="7"/>
      <c r="B482" s="8"/>
      <c r="C482" s="9"/>
      <c r="D482" s="26"/>
      <c r="E482" s="27"/>
      <c r="F482" s="6"/>
    </row>
    <row r="483" spans="1:6" ht="12.75" customHeight="1">
      <c r="A483" s="7"/>
      <c r="B483" s="8" t="s">
        <v>156</v>
      </c>
      <c r="C483" s="9" t="s">
        <v>11</v>
      </c>
      <c r="D483" s="26"/>
      <c r="E483" s="27"/>
      <c r="F483" s="6">
        <f>(SUM(F166,F262,F340,F417)-F484)</f>
        <v>2269876.0255577024</v>
      </c>
    </row>
    <row r="484" spans="1:8" ht="12.75" customHeight="1">
      <c r="A484" s="7"/>
      <c r="B484" s="8" t="s">
        <v>158</v>
      </c>
      <c r="C484" s="9" t="s">
        <v>11</v>
      </c>
      <c r="D484" s="26"/>
      <c r="E484" s="27"/>
      <c r="F484" s="6">
        <f>SUM(F281,F321,F357,F385,F431,F450)</f>
        <v>324625.26003736</v>
      </c>
      <c r="H484" s="118"/>
    </row>
    <row r="485" spans="1:6" s="16" customFormat="1" ht="12.75" customHeight="1">
      <c r="A485" s="7"/>
      <c r="B485" s="8"/>
      <c r="C485" s="9"/>
      <c r="D485" s="26"/>
      <c r="E485" s="27"/>
      <c r="F485" s="6"/>
    </row>
    <row r="486" spans="1:6" ht="12.75" customHeight="1">
      <c r="A486" s="7" t="s">
        <v>159</v>
      </c>
      <c r="B486" s="8" t="s">
        <v>437</v>
      </c>
      <c r="C486" s="5" t="s">
        <v>87</v>
      </c>
      <c r="D486" s="5">
        <v>10</v>
      </c>
      <c r="E486" s="27"/>
      <c r="F486" s="6">
        <f>F483*D486/100</f>
        <v>226987.60255577025</v>
      </c>
    </row>
    <row r="487" spans="1:6" ht="12.75" customHeight="1">
      <c r="A487" s="7" t="s">
        <v>160</v>
      </c>
      <c r="B487" s="8" t="s">
        <v>438</v>
      </c>
      <c r="C487" s="5" t="s">
        <v>87</v>
      </c>
      <c r="D487" s="5">
        <v>10</v>
      </c>
      <c r="E487" s="27"/>
      <c r="F487" s="6">
        <f>F484*D487/100</f>
        <v>32462.526003736002</v>
      </c>
    </row>
    <row r="488" spans="1:6" ht="12.75" customHeight="1">
      <c r="A488" s="7"/>
      <c r="B488" s="8"/>
      <c r="C488" s="9"/>
      <c r="D488" s="9"/>
      <c r="E488" s="27"/>
      <c r="F488" s="6"/>
    </row>
    <row r="489" spans="1:6" ht="12.75" customHeight="1">
      <c r="A489" s="7" t="s">
        <v>161</v>
      </c>
      <c r="B489" s="8" t="s">
        <v>162</v>
      </c>
      <c r="C489" s="5" t="s">
        <v>11</v>
      </c>
      <c r="D489" s="5"/>
      <c r="E489" s="27"/>
      <c r="F489" s="6">
        <f>SUM(F490,F495,F500,F505,F510,F515)</f>
        <v>2663997.6</v>
      </c>
    </row>
    <row r="490" spans="1:6" ht="12.75" customHeight="1">
      <c r="A490" s="7" t="s">
        <v>163</v>
      </c>
      <c r="B490" s="75" t="s">
        <v>319</v>
      </c>
      <c r="C490" s="5" t="s">
        <v>11</v>
      </c>
      <c r="D490" s="26"/>
      <c r="E490" s="27"/>
      <c r="F490" s="6">
        <f>SUM(F491:F494)</f>
        <v>1201464</v>
      </c>
    </row>
    <row r="491" spans="1:8" ht="12.75" customHeight="1">
      <c r="A491" s="7" t="s">
        <v>164</v>
      </c>
      <c r="B491" s="8" t="s">
        <v>165</v>
      </c>
      <c r="C491" s="5" t="s">
        <v>113</v>
      </c>
      <c r="D491" s="26">
        <v>44</v>
      </c>
      <c r="E491" s="27">
        <v>22200000</v>
      </c>
      <c r="F491" s="6">
        <f>D491*E491/1000</f>
        <v>976800</v>
      </c>
      <c r="H491" s="118"/>
    </row>
    <row r="492" spans="1:6" ht="12.75" customHeight="1">
      <c r="A492" s="7" t="s">
        <v>166</v>
      </c>
      <c r="B492" s="8" t="s">
        <v>114</v>
      </c>
      <c r="C492" s="5" t="s">
        <v>11</v>
      </c>
      <c r="D492" s="26"/>
      <c r="E492" s="27"/>
      <c r="F492" s="6">
        <f>0.08*F491</f>
        <v>78144</v>
      </c>
    </row>
    <row r="493" spans="1:6" ht="12.75" customHeight="1">
      <c r="A493" s="7" t="s">
        <v>167</v>
      </c>
      <c r="B493" s="8" t="s">
        <v>115</v>
      </c>
      <c r="C493" s="5" t="s">
        <v>11</v>
      </c>
      <c r="D493" s="26"/>
      <c r="E493" s="27"/>
      <c r="F493" s="6">
        <f>F491*0.15</f>
        <v>146520</v>
      </c>
    </row>
    <row r="494" spans="1:6" ht="12.75" customHeight="1">
      <c r="A494" s="7" t="s">
        <v>168</v>
      </c>
      <c r="B494" s="8" t="s">
        <v>320</v>
      </c>
      <c r="C494" s="5" t="s">
        <v>11</v>
      </c>
      <c r="D494" s="26"/>
      <c r="E494" s="27"/>
      <c r="F494" s="6"/>
    </row>
    <row r="495" spans="1:6" ht="12.75" customHeight="1">
      <c r="A495" s="7" t="s">
        <v>270</v>
      </c>
      <c r="B495" s="75" t="s">
        <v>656</v>
      </c>
      <c r="C495" s="5" t="s">
        <v>11</v>
      </c>
      <c r="D495" s="26"/>
      <c r="E495" s="27"/>
      <c r="F495" s="6">
        <f>SUM(F496:F499)</f>
        <v>19000</v>
      </c>
    </row>
    <row r="496" spans="1:6" ht="12.75" customHeight="1">
      <c r="A496" s="7" t="s">
        <v>271</v>
      </c>
      <c r="B496" s="8" t="s">
        <v>112</v>
      </c>
      <c r="C496" s="9" t="s">
        <v>113</v>
      </c>
      <c r="D496" s="108">
        <v>8</v>
      </c>
      <c r="E496" s="27">
        <v>1500000</v>
      </c>
      <c r="F496" s="6">
        <f>D496*E496/1000</f>
        <v>12000</v>
      </c>
    </row>
    <row r="497" spans="1:6" ht="12.75" customHeight="1">
      <c r="A497" s="7" t="s">
        <v>272</v>
      </c>
      <c r="B497" s="8" t="s">
        <v>114</v>
      </c>
      <c r="C497" s="9" t="s">
        <v>11</v>
      </c>
      <c r="D497" s="26"/>
      <c r="E497" s="27"/>
      <c r="F497" s="6">
        <f>F496*0.08</f>
        <v>960</v>
      </c>
    </row>
    <row r="498" spans="1:6" ht="12.75" customHeight="1">
      <c r="A498" s="7" t="s">
        <v>273</v>
      </c>
      <c r="B498" s="8" t="s">
        <v>115</v>
      </c>
      <c r="C498" s="9" t="s">
        <v>11</v>
      </c>
      <c r="D498" s="26"/>
      <c r="E498" s="27"/>
      <c r="F498" s="6">
        <f>F496*0.1</f>
        <v>1200</v>
      </c>
    </row>
    <row r="499" spans="1:6" ht="12.75" customHeight="1">
      <c r="A499" s="7" t="s">
        <v>274</v>
      </c>
      <c r="B499" s="8" t="s">
        <v>424</v>
      </c>
      <c r="C499" s="5" t="s">
        <v>113</v>
      </c>
      <c r="D499" s="26">
        <v>44</v>
      </c>
      <c r="E499" s="27">
        <v>110000</v>
      </c>
      <c r="F499" s="6">
        <f>D499*E499/1000</f>
        <v>4840</v>
      </c>
    </row>
    <row r="500" spans="1:6" ht="12.75" customHeight="1">
      <c r="A500" s="7" t="s">
        <v>425</v>
      </c>
      <c r="B500" s="8" t="s">
        <v>659</v>
      </c>
      <c r="C500" s="5"/>
      <c r="D500" s="26"/>
      <c r="E500" s="27"/>
      <c r="F500" s="6">
        <f>SUM(F501:F504)</f>
        <v>221672</v>
      </c>
    </row>
    <row r="501" spans="1:6" ht="12.75" customHeight="1">
      <c r="A501" s="7" t="s">
        <v>426</v>
      </c>
      <c r="B501" s="8" t="s">
        <v>112</v>
      </c>
      <c r="C501" s="5" t="s">
        <v>113</v>
      </c>
      <c r="D501" s="26">
        <v>44</v>
      </c>
      <c r="E501" s="27">
        <v>4100000</v>
      </c>
      <c r="F501" s="6">
        <f>D501*E501/1000</f>
        <v>180400</v>
      </c>
    </row>
    <row r="502" spans="1:6" ht="12.75" customHeight="1">
      <c r="A502" s="7" t="s">
        <v>427</v>
      </c>
      <c r="B502" s="8" t="s">
        <v>114</v>
      </c>
      <c r="C502" s="5" t="s">
        <v>11</v>
      </c>
      <c r="D502" s="26"/>
      <c r="E502" s="27"/>
      <c r="F502" s="6">
        <f>F501*0.08</f>
        <v>14432</v>
      </c>
    </row>
    <row r="503" spans="1:6" ht="12.75" customHeight="1">
      <c r="A503" s="7" t="s">
        <v>428</v>
      </c>
      <c r="B503" s="8" t="s">
        <v>115</v>
      </c>
      <c r="C503" s="5" t="s">
        <v>11</v>
      </c>
      <c r="D503" s="26"/>
      <c r="E503" s="27"/>
      <c r="F503" s="6">
        <f>F501*0.1</f>
        <v>18040</v>
      </c>
    </row>
    <row r="504" spans="1:6" ht="12.75" customHeight="1">
      <c r="A504" s="7" t="s">
        <v>429</v>
      </c>
      <c r="B504" s="8" t="s">
        <v>424</v>
      </c>
      <c r="C504" s="5" t="s">
        <v>113</v>
      </c>
      <c r="D504" s="26">
        <v>44</v>
      </c>
      <c r="E504" s="27">
        <v>200000</v>
      </c>
      <c r="F504" s="6">
        <f>D504*E504/1000</f>
        <v>8800</v>
      </c>
    </row>
    <row r="505" spans="1:6" ht="12.75" customHeight="1">
      <c r="A505" s="7" t="s">
        <v>275</v>
      </c>
      <c r="B505" s="8" t="s">
        <v>658</v>
      </c>
      <c r="C505" s="5" t="s">
        <v>11</v>
      </c>
      <c r="D505" s="26"/>
      <c r="E505" s="70"/>
      <c r="F505" s="6">
        <f>SUM(F506:F509)</f>
        <v>5520</v>
      </c>
    </row>
    <row r="506" spans="1:6" ht="12.75" customHeight="1">
      <c r="A506" s="7" t="s">
        <v>276</v>
      </c>
      <c r="B506" s="8" t="s">
        <v>112</v>
      </c>
      <c r="C506" s="9" t="s">
        <v>113</v>
      </c>
      <c r="D506" s="26">
        <v>2</v>
      </c>
      <c r="E506" s="96">
        <v>2300000</v>
      </c>
      <c r="F506" s="6">
        <f>D506*E506/1000</f>
        <v>4600</v>
      </c>
    </row>
    <row r="507" spans="1:6" ht="12.75" customHeight="1">
      <c r="A507" s="7" t="s">
        <v>277</v>
      </c>
      <c r="B507" s="8" t="s">
        <v>114</v>
      </c>
      <c r="C507" s="9" t="s">
        <v>11</v>
      </c>
      <c r="D507" s="26" t="s">
        <v>443</v>
      </c>
      <c r="E507" s="27"/>
      <c r="F507" s="6">
        <f>F506*0.08</f>
        <v>368</v>
      </c>
    </row>
    <row r="508" spans="1:6" ht="12.75" customHeight="1">
      <c r="A508" s="7" t="s">
        <v>278</v>
      </c>
      <c r="B508" s="8" t="s">
        <v>115</v>
      </c>
      <c r="C508" s="9" t="s">
        <v>11</v>
      </c>
      <c r="D508" s="26"/>
      <c r="E508" s="27"/>
      <c r="F508" s="6">
        <f>F506*0.12</f>
        <v>552</v>
      </c>
    </row>
    <row r="509" spans="1:6" ht="12.75" customHeight="1">
      <c r="A509" s="7" t="s">
        <v>279</v>
      </c>
      <c r="B509" s="8" t="s">
        <v>321</v>
      </c>
      <c r="C509" s="5" t="s">
        <v>11</v>
      </c>
      <c r="D509" s="26"/>
      <c r="E509" s="27"/>
      <c r="F509" s="6"/>
    </row>
    <row r="510" spans="1:6" ht="12.75" customHeight="1">
      <c r="A510" s="7" t="s">
        <v>170</v>
      </c>
      <c r="B510" s="8" t="s">
        <v>171</v>
      </c>
      <c r="C510" s="5" t="s">
        <v>11</v>
      </c>
      <c r="D510" s="26"/>
      <c r="E510" s="27"/>
      <c r="F510" s="6">
        <f>SUM(F511:F514)</f>
        <v>974160</v>
      </c>
    </row>
    <row r="511" spans="1:6" ht="12.75" customHeight="1">
      <c r="A511" s="7" t="s">
        <v>172</v>
      </c>
      <c r="B511" s="8" t="s">
        <v>112</v>
      </c>
      <c r="C511" s="9" t="s">
        <v>113</v>
      </c>
      <c r="D511" s="26">
        <v>44</v>
      </c>
      <c r="E511" s="27">
        <v>18000000</v>
      </c>
      <c r="F511" s="6">
        <f>(D511*E511)/1000</f>
        <v>792000</v>
      </c>
    </row>
    <row r="512" spans="1:6" ht="12.75" customHeight="1">
      <c r="A512" s="7" t="s">
        <v>173</v>
      </c>
      <c r="B512" s="8" t="s">
        <v>114</v>
      </c>
      <c r="C512" s="9" t="s">
        <v>11</v>
      </c>
      <c r="D512" s="26"/>
      <c r="E512" s="27"/>
      <c r="F512" s="6">
        <f>F511*0.08</f>
        <v>63360</v>
      </c>
    </row>
    <row r="513" spans="1:6" ht="12.75" customHeight="1">
      <c r="A513" s="7" t="s">
        <v>174</v>
      </c>
      <c r="B513" s="8" t="s">
        <v>115</v>
      </c>
      <c r="C513" s="9" t="s">
        <v>11</v>
      </c>
      <c r="D513" s="26"/>
      <c r="E513" s="27"/>
      <c r="F513" s="6">
        <f>F511*0.15</f>
        <v>118800</v>
      </c>
    </row>
    <row r="514" spans="1:6" ht="12.75" customHeight="1">
      <c r="A514" s="179" t="s">
        <v>175</v>
      </c>
      <c r="B514" s="102" t="s">
        <v>169</v>
      </c>
      <c r="C514" s="188" t="s">
        <v>87</v>
      </c>
      <c r="D514" s="180"/>
      <c r="E514" s="73"/>
      <c r="F514" s="97">
        <f>((F511+F512+F513)*D514)/100</f>
        <v>0</v>
      </c>
    </row>
    <row r="515" spans="1:6" ht="12.75" customHeight="1">
      <c r="A515" s="3" t="s">
        <v>176</v>
      </c>
      <c r="B515" s="4" t="s">
        <v>657</v>
      </c>
      <c r="C515" s="5" t="s">
        <v>87</v>
      </c>
      <c r="D515" s="26">
        <v>10</v>
      </c>
      <c r="E515" s="27"/>
      <c r="F515" s="6">
        <f>(SUM(F495,F500,F505,F510,F490)*D515/100)</f>
        <v>242181.6</v>
      </c>
    </row>
    <row r="516" spans="1:6" ht="12.75" customHeight="1">
      <c r="A516" s="3"/>
      <c r="B516" s="4"/>
      <c r="C516" s="5"/>
      <c r="D516" s="26"/>
      <c r="E516" s="27"/>
      <c r="F516" s="6"/>
    </row>
    <row r="517" spans="1:6" ht="12.75" customHeight="1">
      <c r="A517" s="7" t="s">
        <v>177</v>
      </c>
      <c r="B517" s="8" t="s">
        <v>178</v>
      </c>
      <c r="C517" s="9" t="s">
        <v>11</v>
      </c>
      <c r="D517" s="9"/>
      <c r="E517" s="27"/>
      <c r="F517" s="6">
        <f>SUM(F518:F522)</f>
        <v>319287.3643311038</v>
      </c>
    </row>
    <row r="518" spans="1:6" ht="12.75" customHeight="1">
      <c r="A518" s="7" t="s">
        <v>179</v>
      </c>
      <c r="B518" s="8" t="s">
        <v>112</v>
      </c>
      <c r="C518" s="5" t="s">
        <v>87</v>
      </c>
      <c r="D518" s="5"/>
      <c r="E518" s="55"/>
      <c r="F518" s="6">
        <f>(1.1*170000*75/71.5*1.05)/46*44</f>
        <v>197006.68896321076</v>
      </c>
    </row>
    <row r="519" spans="1:6" ht="12.75" customHeight="1">
      <c r="A519" s="7" t="s">
        <v>180</v>
      </c>
      <c r="B519" s="8" t="s">
        <v>114</v>
      </c>
      <c r="C519" s="9" t="s">
        <v>11</v>
      </c>
      <c r="D519" s="9"/>
      <c r="E519" s="27"/>
      <c r="F519" s="6">
        <f>0.06*F518</f>
        <v>11820.401337792646</v>
      </c>
    </row>
    <row r="520" spans="1:6" ht="12.75" customHeight="1">
      <c r="A520" s="7" t="s">
        <v>181</v>
      </c>
      <c r="B520" s="8" t="s">
        <v>115</v>
      </c>
      <c r="C520" s="9" t="s">
        <v>11</v>
      </c>
      <c r="D520" s="9"/>
      <c r="E520" s="27"/>
      <c r="F520" s="6">
        <v>81434.15</v>
      </c>
    </row>
    <row r="521" spans="1:6" ht="12.75" customHeight="1">
      <c r="A521" s="7" t="s">
        <v>182</v>
      </c>
      <c r="B521" s="8" t="s">
        <v>169</v>
      </c>
      <c r="C521" s="5" t="s">
        <v>11</v>
      </c>
      <c r="D521" s="5"/>
      <c r="E521" s="27"/>
      <c r="F521" s="6"/>
    </row>
    <row r="522" spans="1:6" ht="12.75" customHeight="1">
      <c r="A522" s="7" t="s">
        <v>183</v>
      </c>
      <c r="B522" s="4" t="s">
        <v>442</v>
      </c>
      <c r="C522" s="9" t="s">
        <v>87</v>
      </c>
      <c r="D522" s="9">
        <v>10</v>
      </c>
      <c r="E522" s="27"/>
      <c r="F522" s="6">
        <f>(SUM(F518,F519,F520,F521)*D522/100)</f>
        <v>29026.124030100345</v>
      </c>
    </row>
    <row r="523" spans="1:6" ht="12.75" customHeight="1">
      <c r="A523" s="3"/>
      <c r="B523" s="4"/>
      <c r="C523" s="5"/>
      <c r="D523" s="5"/>
      <c r="E523" s="27"/>
      <c r="F523" s="6"/>
    </row>
    <row r="524" spans="1:6" ht="12.75" customHeight="1">
      <c r="A524" s="7" t="s">
        <v>184</v>
      </c>
      <c r="B524" s="8" t="s">
        <v>185</v>
      </c>
      <c r="C524" s="5" t="s">
        <v>11</v>
      </c>
      <c r="D524" s="5"/>
      <c r="E524" s="27"/>
      <c r="F524" s="6">
        <f>SUM(F525,F530,F535,F540,F547,F545:F546)</f>
        <v>342800.5675</v>
      </c>
    </row>
    <row r="525" spans="1:6" ht="12.75" customHeight="1">
      <c r="A525" s="7" t="s">
        <v>186</v>
      </c>
      <c r="B525" s="8" t="s">
        <v>430</v>
      </c>
      <c r="C525" s="5" t="s">
        <v>11</v>
      </c>
      <c r="D525" s="5"/>
      <c r="E525" s="27"/>
      <c r="F525" s="6">
        <f>SUM(F526:F529)</f>
        <v>8040</v>
      </c>
    </row>
    <row r="526" spans="1:8" ht="12.75" customHeight="1">
      <c r="A526" s="7" t="s">
        <v>187</v>
      </c>
      <c r="B526" s="8" t="s">
        <v>112</v>
      </c>
      <c r="C526" s="9" t="s">
        <v>113</v>
      </c>
      <c r="D526" s="26">
        <v>2</v>
      </c>
      <c r="E526" s="27">
        <v>3000000</v>
      </c>
      <c r="F526" s="6">
        <f>D526*E526/1000</f>
        <v>6000</v>
      </c>
      <c r="H526" s="118"/>
    </row>
    <row r="527" spans="1:8" ht="12.75" customHeight="1">
      <c r="A527" s="7" t="s">
        <v>188</v>
      </c>
      <c r="B527" s="8" t="s">
        <v>114</v>
      </c>
      <c r="C527" s="9" t="s">
        <v>11</v>
      </c>
      <c r="D527" s="26"/>
      <c r="E527" s="27"/>
      <c r="F527" s="6">
        <f>F526*0.08</f>
        <v>480</v>
      </c>
      <c r="H527" s="118"/>
    </row>
    <row r="528" spans="1:6" ht="12.75" customHeight="1">
      <c r="A528" s="7" t="s">
        <v>189</v>
      </c>
      <c r="B528" s="8" t="s">
        <v>115</v>
      </c>
      <c r="C528" s="9" t="s">
        <v>11</v>
      </c>
      <c r="D528" s="26"/>
      <c r="E528" s="27"/>
      <c r="F528" s="6">
        <f>F526*0.12</f>
        <v>720</v>
      </c>
    </row>
    <row r="529" spans="1:6" ht="12.75" customHeight="1">
      <c r="A529" s="7" t="s">
        <v>190</v>
      </c>
      <c r="B529" s="8" t="s">
        <v>169</v>
      </c>
      <c r="C529" s="5" t="s">
        <v>11</v>
      </c>
      <c r="D529" s="26"/>
      <c r="E529" s="27"/>
      <c r="F529" s="6">
        <f>0.14*F526</f>
        <v>840.0000000000001</v>
      </c>
    </row>
    <row r="530" spans="1:6" ht="12.75" customHeight="1">
      <c r="A530" s="7" t="s">
        <v>388</v>
      </c>
      <c r="B530" s="8" t="s">
        <v>660</v>
      </c>
      <c r="C530" s="5" t="s">
        <v>11</v>
      </c>
      <c r="D530" s="26"/>
      <c r="E530" s="27"/>
      <c r="F530" s="6">
        <f>SUM(F531:F534)</f>
        <v>912</v>
      </c>
    </row>
    <row r="531" spans="1:6" ht="12.75" customHeight="1">
      <c r="A531" s="7" t="s">
        <v>389</v>
      </c>
      <c r="B531" s="8" t="s">
        <v>112</v>
      </c>
      <c r="C531" s="9" t="s">
        <v>113</v>
      </c>
      <c r="D531" s="91">
        <v>1</v>
      </c>
      <c r="E531" s="27">
        <v>760000</v>
      </c>
      <c r="F531" s="6">
        <f>D531*E531/1000</f>
        <v>760</v>
      </c>
    </row>
    <row r="532" spans="1:6" ht="12.75" customHeight="1">
      <c r="A532" s="7" t="s">
        <v>390</v>
      </c>
      <c r="B532" s="8" t="s">
        <v>114</v>
      </c>
      <c r="C532" s="9" t="s">
        <v>11</v>
      </c>
      <c r="D532" s="26"/>
      <c r="E532" s="27"/>
      <c r="F532" s="6">
        <f>F531*0.08</f>
        <v>60.800000000000004</v>
      </c>
    </row>
    <row r="533" spans="1:6" ht="12.75" customHeight="1">
      <c r="A533" s="7" t="s">
        <v>391</v>
      </c>
      <c r="B533" s="8" t="s">
        <v>115</v>
      </c>
      <c r="C533" s="9" t="s">
        <v>11</v>
      </c>
      <c r="D533" s="26"/>
      <c r="E533" s="27"/>
      <c r="F533" s="6">
        <f>F531*0.12</f>
        <v>91.2</v>
      </c>
    </row>
    <row r="534" spans="1:6" ht="12.75" customHeight="1">
      <c r="A534" s="7" t="s">
        <v>392</v>
      </c>
      <c r="B534" s="8" t="s">
        <v>169</v>
      </c>
      <c r="C534" s="5" t="s">
        <v>11</v>
      </c>
      <c r="D534" s="26"/>
      <c r="E534" s="27"/>
      <c r="F534" s="6"/>
    </row>
    <row r="535" spans="1:6" ht="12.75" customHeight="1">
      <c r="A535" s="7" t="s">
        <v>431</v>
      </c>
      <c r="B535" s="8" t="s">
        <v>646</v>
      </c>
      <c r="C535" s="5" t="s">
        <v>11</v>
      </c>
      <c r="D535" s="26"/>
      <c r="E535" s="27"/>
      <c r="F535" s="6">
        <f>SUM(F536:F539)</f>
        <v>3497.4</v>
      </c>
    </row>
    <row r="536" spans="1:6" ht="12.75" customHeight="1">
      <c r="A536" s="7" t="s">
        <v>432</v>
      </c>
      <c r="B536" s="8" t="s">
        <v>112</v>
      </c>
      <c r="C536" s="5" t="s">
        <v>113</v>
      </c>
      <c r="D536" s="26">
        <v>3</v>
      </c>
      <c r="E536" s="27">
        <v>870000</v>
      </c>
      <c r="F536" s="6">
        <f>D536*E536/1000</f>
        <v>2610</v>
      </c>
    </row>
    <row r="537" spans="1:6" ht="12.75" customHeight="1">
      <c r="A537" s="7" t="s">
        <v>433</v>
      </c>
      <c r="B537" s="8" t="s">
        <v>114</v>
      </c>
      <c r="C537" s="5" t="s">
        <v>11</v>
      </c>
      <c r="D537" s="26"/>
      <c r="E537" s="27"/>
      <c r="F537" s="6">
        <f>F536*0.08</f>
        <v>208.8</v>
      </c>
    </row>
    <row r="538" spans="1:6" ht="12.75" customHeight="1">
      <c r="A538" s="7" t="s">
        <v>434</v>
      </c>
      <c r="B538" s="8" t="s">
        <v>115</v>
      </c>
      <c r="C538" s="5" t="s">
        <v>11</v>
      </c>
      <c r="D538" s="26"/>
      <c r="E538" s="27"/>
      <c r="F538" s="6">
        <f>F536*0.12</f>
        <v>313.2</v>
      </c>
    </row>
    <row r="539" spans="1:6" ht="12.75" customHeight="1">
      <c r="A539" s="7" t="s">
        <v>435</v>
      </c>
      <c r="B539" s="8" t="s">
        <v>169</v>
      </c>
      <c r="C539" s="5" t="s">
        <v>11</v>
      </c>
      <c r="D539" s="26"/>
      <c r="E539" s="27"/>
      <c r="F539" s="6">
        <f>F536*0.14</f>
        <v>365.40000000000003</v>
      </c>
    </row>
    <row r="540" spans="1:6" ht="12.75" customHeight="1">
      <c r="A540" s="7" t="s">
        <v>191</v>
      </c>
      <c r="B540" s="8" t="s">
        <v>322</v>
      </c>
      <c r="C540" s="5" t="s">
        <v>11</v>
      </c>
      <c r="D540" s="26"/>
      <c r="E540" s="27"/>
      <c r="F540" s="6">
        <f>SUM(F541:F544)</f>
        <v>270600</v>
      </c>
    </row>
    <row r="541" spans="1:6" ht="12.75" customHeight="1">
      <c r="A541" s="7" t="s">
        <v>192</v>
      </c>
      <c r="B541" s="8" t="s">
        <v>112</v>
      </c>
      <c r="C541" s="5" t="s">
        <v>113</v>
      </c>
      <c r="D541" s="26">
        <v>1</v>
      </c>
      <c r="E541" s="55">
        <v>220000000</v>
      </c>
      <c r="F541" s="6">
        <f>D541*E541/1000</f>
        <v>220000</v>
      </c>
    </row>
    <row r="542" spans="1:6" ht="12.75" customHeight="1">
      <c r="A542" s="7" t="s">
        <v>193</v>
      </c>
      <c r="B542" s="8" t="s">
        <v>114</v>
      </c>
      <c r="C542" s="9" t="s">
        <v>11</v>
      </c>
      <c r="D542" s="26"/>
      <c r="E542" s="55"/>
      <c r="F542" s="6">
        <f>0.08*F541</f>
        <v>17600</v>
      </c>
    </row>
    <row r="543" spans="1:6" ht="12.75" customHeight="1">
      <c r="A543" s="7" t="s">
        <v>194</v>
      </c>
      <c r="B543" s="8" t="s">
        <v>115</v>
      </c>
      <c r="C543" s="9" t="s">
        <v>11</v>
      </c>
      <c r="D543" s="26"/>
      <c r="E543" s="55"/>
      <c r="F543" s="6">
        <f>F541*0.15</f>
        <v>33000</v>
      </c>
    </row>
    <row r="544" spans="1:6" ht="12.75" customHeight="1">
      <c r="A544" s="7" t="s">
        <v>195</v>
      </c>
      <c r="B544" s="8" t="s">
        <v>169</v>
      </c>
      <c r="C544" s="5" t="s">
        <v>87</v>
      </c>
      <c r="D544" s="26"/>
      <c r="E544" s="27"/>
      <c r="F544" s="6">
        <f>(D544*(F541+F542+F543)/100)</f>
        <v>0</v>
      </c>
    </row>
    <row r="545" spans="1:6" ht="12.75" customHeight="1">
      <c r="A545" s="7" t="s">
        <v>884</v>
      </c>
      <c r="B545" s="8" t="s">
        <v>883</v>
      </c>
      <c r="C545" s="5" t="s">
        <v>11</v>
      </c>
      <c r="D545" s="26"/>
      <c r="E545" s="27"/>
      <c r="F545" s="6">
        <v>10498.25</v>
      </c>
    </row>
    <row r="546" spans="1:6" ht="12.75" customHeight="1">
      <c r="A546" s="7" t="s">
        <v>885</v>
      </c>
      <c r="B546" s="8" t="s">
        <v>878</v>
      </c>
      <c r="C546" s="5" t="s">
        <v>11</v>
      </c>
      <c r="D546" s="26"/>
      <c r="E546" s="27"/>
      <c r="F546" s="6">
        <v>4539.8</v>
      </c>
    </row>
    <row r="547" spans="1:6" ht="12.75" customHeight="1">
      <c r="A547" s="7" t="s">
        <v>196</v>
      </c>
      <c r="B547" s="161" t="s">
        <v>441</v>
      </c>
      <c r="C547" s="9" t="s">
        <v>87</v>
      </c>
      <c r="D547" s="26">
        <v>15</v>
      </c>
      <c r="E547" s="27"/>
      <c r="F547" s="132">
        <f>0.15*(F525+F530+F535+F545+F546)+0.15*F540</f>
        <v>44713.1175</v>
      </c>
    </row>
    <row r="548" spans="1:6" ht="12.75" customHeight="1">
      <c r="A548" s="3"/>
      <c r="B548" s="4"/>
      <c r="C548" s="5"/>
      <c r="D548" s="26"/>
      <c r="E548" s="27"/>
      <c r="F548" s="6"/>
    </row>
    <row r="549" spans="1:6" ht="12.75" customHeight="1">
      <c r="A549" s="7" t="s">
        <v>197</v>
      </c>
      <c r="B549" s="8" t="s">
        <v>198</v>
      </c>
      <c r="C549" s="5" t="s">
        <v>11</v>
      </c>
      <c r="D549" s="5"/>
      <c r="E549" s="27"/>
      <c r="F549" s="6">
        <f>SUM(F550:F554)</f>
        <v>28510.947211999995</v>
      </c>
    </row>
    <row r="550" spans="1:6" ht="12.75" customHeight="1">
      <c r="A550" s="7" t="s">
        <v>199</v>
      </c>
      <c r="B550" s="8" t="s">
        <v>978</v>
      </c>
      <c r="C550" s="9" t="s">
        <v>42</v>
      </c>
      <c r="D550" s="26">
        <v>8</v>
      </c>
      <c r="E550" s="27">
        <v>797567.44</v>
      </c>
      <c r="F550" s="6">
        <f>(D550*E550)/1000</f>
        <v>6380.539519999999</v>
      </c>
    </row>
    <row r="551" spans="1:6" ht="12.75" customHeight="1">
      <c r="A551" s="7" t="s">
        <v>200</v>
      </c>
      <c r="B551" s="8" t="s">
        <v>44</v>
      </c>
      <c r="C551" s="9" t="s">
        <v>42</v>
      </c>
      <c r="D551" s="26"/>
      <c r="E551" s="27"/>
      <c r="F551" s="6">
        <f>(D551*E551)/1000</f>
        <v>0</v>
      </c>
    </row>
    <row r="552" spans="1:6" ht="12.75" customHeight="1">
      <c r="A552" s="7" t="s">
        <v>201</v>
      </c>
      <c r="B552" s="8" t="s">
        <v>45</v>
      </c>
      <c r="C552" s="9" t="s">
        <v>46</v>
      </c>
      <c r="D552" s="26"/>
      <c r="E552" s="27"/>
      <c r="F552" s="6">
        <f>(D552*E552)/1000</f>
        <v>0</v>
      </c>
    </row>
    <row r="553" spans="1:6" ht="12.75" customHeight="1">
      <c r="A553" s="7" t="s">
        <v>202</v>
      </c>
      <c r="B553" s="8" t="s">
        <v>977</v>
      </c>
      <c r="C553" s="9" t="s">
        <v>11</v>
      </c>
      <c r="D553" s="26">
        <v>1</v>
      </c>
      <c r="E553" s="27">
        <v>19538503.4</v>
      </c>
      <c r="F553" s="6">
        <f>(D553*E553)/1000</f>
        <v>19538.503399999998</v>
      </c>
    </row>
    <row r="554" spans="1:6" ht="12.75" customHeight="1">
      <c r="A554" s="7" t="s">
        <v>203</v>
      </c>
      <c r="B554" s="8" t="s">
        <v>661</v>
      </c>
      <c r="C554" s="5" t="s">
        <v>87</v>
      </c>
      <c r="D554" s="26">
        <v>10</v>
      </c>
      <c r="E554" s="27"/>
      <c r="F554" s="6">
        <f>(SUM(F550:F553)*D554/100)</f>
        <v>2591.9042919999997</v>
      </c>
    </row>
    <row r="555" spans="1:6" ht="12.75" customHeight="1">
      <c r="A555" s="3"/>
      <c r="B555" s="4"/>
      <c r="C555" s="5"/>
      <c r="D555" s="26"/>
      <c r="E555" s="27"/>
      <c r="F555" s="6"/>
    </row>
    <row r="556" spans="1:6" ht="12.75" customHeight="1">
      <c r="A556" s="7"/>
      <c r="B556" s="8" t="s">
        <v>204</v>
      </c>
      <c r="C556" s="5" t="s">
        <v>157</v>
      </c>
      <c r="D556" s="26"/>
      <c r="E556" s="27"/>
      <c r="F556" s="30">
        <f>SUM(F15,F129,F165,F489,F517,F524,F549)</f>
        <v>7831268.257356105</v>
      </c>
    </row>
    <row r="557" spans="1:6" ht="12.75" customHeight="1">
      <c r="A557" s="3"/>
      <c r="B557" s="4"/>
      <c r="C557" s="5"/>
      <c r="D557" s="26"/>
      <c r="E557" s="27"/>
      <c r="F557" s="6"/>
    </row>
    <row r="558" spans="1:6" ht="12.75" customHeight="1">
      <c r="A558" s="7" t="s">
        <v>205</v>
      </c>
      <c r="B558" s="8" t="s">
        <v>206</v>
      </c>
      <c r="C558" s="9" t="s">
        <v>11</v>
      </c>
      <c r="D558" s="9"/>
      <c r="E558" s="27"/>
      <c r="F558" s="6">
        <f>SUM(F559,F562,F568)</f>
        <v>1468808.131231879</v>
      </c>
    </row>
    <row r="559" spans="1:6" ht="12.75" customHeight="1">
      <c r="A559" s="7" t="s">
        <v>207</v>
      </c>
      <c r="B559" s="8" t="s">
        <v>208</v>
      </c>
      <c r="C559" s="9" t="s">
        <v>11</v>
      </c>
      <c r="D559" s="76"/>
      <c r="E559" s="27"/>
      <c r="F559" s="6">
        <f>SUM(F560:F561)</f>
        <v>747935</v>
      </c>
    </row>
    <row r="560" spans="1:6" ht="12.75" customHeight="1">
      <c r="A560" s="7" t="s">
        <v>209</v>
      </c>
      <c r="B560" s="8" t="s">
        <v>210</v>
      </c>
      <c r="C560" s="9" t="s">
        <v>11</v>
      </c>
      <c r="D560" s="76"/>
      <c r="E560" s="27"/>
      <c r="F560" s="6">
        <v>548339</v>
      </c>
    </row>
    <row r="561" spans="1:6" ht="12.75" customHeight="1">
      <c r="A561" s="7" t="s">
        <v>211</v>
      </c>
      <c r="B561" s="8" t="s">
        <v>212</v>
      </c>
      <c r="C561" s="9" t="s">
        <v>11</v>
      </c>
      <c r="D561" s="76"/>
      <c r="E561" s="27"/>
      <c r="F561" s="6">
        <v>199596</v>
      </c>
    </row>
    <row r="562" spans="1:6" ht="12.75" customHeight="1">
      <c r="A562" s="7" t="s">
        <v>213</v>
      </c>
      <c r="B562" s="8" t="s">
        <v>214</v>
      </c>
      <c r="C562" s="9" t="s">
        <v>11</v>
      </c>
      <c r="D562" s="76"/>
      <c r="E562" s="27"/>
      <c r="F562" s="6">
        <f>SUM(F563,F567)</f>
        <v>587345.119301708</v>
      </c>
    </row>
    <row r="563" spans="1:6" ht="12.75" customHeight="1">
      <c r="A563" s="7" t="s">
        <v>215</v>
      </c>
      <c r="B563" s="8" t="s">
        <v>436</v>
      </c>
      <c r="C563" s="9"/>
      <c r="D563" s="76"/>
      <c r="E563" s="27"/>
      <c r="F563" s="6">
        <f>SUM(F564:F566)</f>
        <v>391563.4128678053</v>
      </c>
    </row>
    <row r="564" spans="1:6" ht="12.75" customHeight="1">
      <c r="A564" s="7" t="s">
        <v>216</v>
      </c>
      <c r="B564" s="8" t="s">
        <v>979</v>
      </c>
      <c r="C564" s="9" t="s">
        <v>87</v>
      </c>
      <c r="D564" s="76">
        <v>4.5</v>
      </c>
      <c r="E564" s="27"/>
      <c r="F564" s="6">
        <f>F556*D564/100</f>
        <v>352407.07158102473</v>
      </c>
    </row>
    <row r="565" spans="1:6" ht="12.75" customHeight="1">
      <c r="A565" s="7" t="s">
        <v>217</v>
      </c>
      <c r="B565" s="8" t="s">
        <v>218</v>
      </c>
      <c r="C565" s="9" t="s">
        <v>87</v>
      </c>
      <c r="D565" s="76">
        <v>0.5</v>
      </c>
      <c r="E565" s="27"/>
      <c r="F565" s="6">
        <f>F556*D565/100</f>
        <v>39156.341286780524</v>
      </c>
    </row>
    <row r="566" spans="1:6" ht="12.75" customHeight="1">
      <c r="A566" s="7" t="s">
        <v>219</v>
      </c>
      <c r="B566" s="4" t="s">
        <v>980</v>
      </c>
      <c r="C566" s="9" t="s">
        <v>11</v>
      </c>
      <c r="D566" s="76"/>
      <c r="E566" s="27"/>
      <c r="F566" s="6">
        <v>0</v>
      </c>
    </row>
    <row r="567" spans="1:6" ht="12.75" customHeight="1">
      <c r="A567" s="7" t="s">
        <v>220</v>
      </c>
      <c r="B567" s="8" t="s">
        <v>221</v>
      </c>
      <c r="C567" s="9" t="s">
        <v>87</v>
      </c>
      <c r="D567" s="76">
        <v>2.5</v>
      </c>
      <c r="E567" s="27"/>
      <c r="F567" s="6">
        <f>F556*D567/100</f>
        <v>195781.70643390264</v>
      </c>
    </row>
    <row r="568" spans="1:6" ht="12.75" customHeight="1">
      <c r="A568" s="7" t="s">
        <v>222</v>
      </c>
      <c r="B568" s="8" t="s">
        <v>223</v>
      </c>
      <c r="C568" s="9" t="s">
        <v>87</v>
      </c>
      <c r="D568" s="76">
        <v>10</v>
      </c>
      <c r="E568" s="27"/>
      <c r="F568" s="6">
        <f>(SUM(F559,F562)*D568/100)</f>
        <v>133528.01193017082</v>
      </c>
    </row>
    <row r="569" spans="1:6" ht="12.75" customHeight="1">
      <c r="A569" s="3"/>
      <c r="B569" s="4"/>
      <c r="C569" s="5"/>
      <c r="D569" s="76"/>
      <c r="E569" s="27"/>
      <c r="F569" s="6"/>
    </row>
    <row r="570" spans="1:6" ht="12.75" customHeight="1">
      <c r="A570" s="7"/>
      <c r="B570" s="8" t="s">
        <v>224</v>
      </c>
      <c r="C570" s="5" t="s">
        <v>157</v>
      </c>
      <c r="D570" s="26"/>
      <c r="E570" s="27"/>
      <c r="F570" s="90">
        <f>SUM(F556,F558)</f>
        <v>9300076.388587985</v>
      </c>
    </row>
    <row r="571" spans="1:6" ht="12.75" customHeight="1">
      <c r="A571" s="7"/>
      <c r="B571" s="8"/>
      <c r="C571" s="5"/>
      <c r="D571" s="26"/>
      <c r="E571" s="27"/>
      <c r="F571" s="6"/>
    </row>
    <row r="572" spans="1:6" ht="12.75" customHeight="1">
      <c r="A572" s="7" t="s">
        <v>225</v>
      </c>
      <c r="B572" s="8" t="s">
        <v>226</v>
      </c>
      <c r="C572" s="5" t="s">
        <v>11</v>
      </c>
      <c r="D572" s="5"/>
      <c r="E572" s="27"/>
      <c r="F572" s="6">
        <v>950000</v>
      </c>
    </row>
    <row r="573" spans="1:6" ht="12.75" customHeight="1" thickBot="1">
      <c r="A573" s="81"/>
      <c r="B573" s="82"/>
      <c r="C573" s="83"/>
      <c r="D573" s="84"/>
      <c r="E573" s="85"/>
      <c r="F573" s="86"/>
    </row>
    <row r="574" spans="1:6" ht="12.75" customHeight="1" thickTop="1">
      <c r="A574" s="182"/>
      <c r="B574" s="32" t="s">
        <v>281</v>
      </c>
      <c r="C574" s="33"/>
      <c r="D574" s="34"/>
      <c r="E574" s="35"/>
      <c r="F574" s="183">
        <f>(SUM(F570,F572))</f>
        <v>10250076.388587985</v>
      </c>
    </row>
    <row r="575" spans="1:6" ht="14.25" customHeight="1">
      <c r="A575" s="184"/>
      <c r="B575" s="38" t="s">
        <v>282</v>
      </c>
      <c r="C575" s="39"/>
      <c r="D575" s="89"/>
      <c r="E575" s="41"/>
      <c r="F575" s="185">
        <f>F574/F9</f>
        <v>3360680.783143602</v>
      </c>
    </row>
    <row r="576" spans="1:6" ht="12.75" customHeight="1">
      <c r="A576" s="179"/>
      <c r="B576" s="38" t="s">
        <v>227</v>
      </c>
      <c r="C576" s="39"/>
      <c r="D576" s="40"/>
      <c r="E576" s="41"/>
      <c r="F576" s="185">
        <v>3300000</v>
      </c>
    </row>
    <row r="577" spans="1:6" ht="12.75" customHeight="1">
      <c r="A577" s="186"/>
      <c r="B577" s="38" t="s">
        <v>283</v>
      </c>
      <c r="C577" s="49"/>
      <c r="D577" s="50"/>
      <c r="E577" s="51"/>
      <c r="F577" s="185">
        <f>F574*1000/F576</f>
        <v>3106.0837541175715</v>
      </c>
    </row>
    <row r="578" spans="1:6" ht="12.75" customHeight="1" thickBot="1">
      <c r="A578" s="178"/>
      <c r="B578" s="174" t="s">
        <v>228</v>
      </c>
      <c r="C578" s="175"/>
      <c r="D578" s="176"/>
      <c r="E578" s="177"/>
      <c r="F578" s="187">
        <f>F575*1000/F576</f>
        <v>1018.3881161041218</v>
      </c>
    </row>
    <row r="579" spans="1:6" ht="12.75" customHeight="1" thickTop="1">
      <c r="A579" s="171" t="s">
        <v>677</v>
      </c>
      <c r="B579" s="172" t="s">
        <v>675</v>
      </c>
      <c r="C579" s="172"/>
      <c r="D579" s="172"/>
      <c r="E579" s="172"/>
      <c r="F579" s="173">
        <f>F580+F591+F623+F602+F640+F641</f>
        <v>528245.664798016</v>
      </c>
    </row>
    <row r="580" spans="1:6" ht="12.75" customHeight="1">
      <c r="A580" s="105" t="s">
        <v>678</v>
      </c>
      <c r="B580" s="148" t="s">
        <v>676</v>
      </c>
      <c r="C580" s="95" t="s">
        <v>11</v>
      </c>
      <c r="D580" s="135"/>
      <c r="E580" s="96"/>
      <c r="F580" s="97">
        <f>SUM(F581,F584)</f>
        <v>50401.54176</v>
      </c>
    </row>
    <row r="581" spans="1:6" ht="12.75" customHeight="1">
      <c r="A581" s="105" t="s">
        <v>679</v>
      </c>
      <c r="B581" s="8" t="s">
        <v>94</v>
      </c>
      <c r="C581" s="9" t="s">
        <v>11</v>
      </c>
      <c r="D581" s="26"/>
      <c r="E581" s="27"/>
      <c r="F581" s="6">
        <f>SUM(F582:F583)</f>
        <v>36736.3923</v>
      </c>
    </row>
    <row r="582" spans="1:6" ht="12.75" customHeight="1">
      <c r="A582" s="105" t="s">
        <v>680</v>
      </c>
      <c r="B582" s="8" t="s">
        <v>96</v>
      </c>
      <c r="C582" s="9" t="s">
        <v>97</v>
      </c>
      <c r="D582" s="26">
        <v>1657225</v>
      </c>
      <c r="E582" s="27">
        <v>9.24</v>
      </c>
      <c r="F582" s="6">
        <f>(D582*E582)/1000</f>
        <v>15312.759</v>
      </c>
    </row>
    <row r="583" spans="1:6" ht="12.75" customHeight="1">
      <c r="A583" s="105" t="s">
        <v>681</v>
      </c>
      <c r="B583" s="8" t="s">
        <v>124</v>
      </c>
      <c r="C583" s="9" t="s">
        <v>97</v>
      </c>
      <c r="D583" s="26">
        <v>979590</v>
      </c>
      <c r="E583" s="27">
        <v>21.87</v>
      </c>
      <c r="F583" s="6">
        <f>(D583*E583)/1000</f>
        <v>21423.6333</v>
      </c>
    </row>
    <row r="584" spans="1:6" ht="12.75" customHeight="1">
      <c r="A584" s="105" t="s">
        <v>711</v>
      </c>
      <c r="B584" s="28" t="s">
        <v>510</v>
      </c>
      <c r="C584" s="9" t="s">
        <v>11</v>
      </c>
      <c r="D584" s="26"/>
      <c r="E584" s="27"/>
      <c r="F584" s="6">
        <f>SUM(F585:F590)</f>
        <v>13665.149460000002</v>
      </c>
    </row>
    <row r="585" spans="1:6" ht="12.75" customHeight="1">
      <c r="A585" s="105" t="s">
        <v>712</v>
      </c>
      <c r="B585" s="8" t="s">
        <v>511</v>
      </c>
      <c r="C585" s="9" t="s">
        <v>97</v>
      </c>
      <c r="D585" s="26">
        <v>34820</v>
      </c>
      <c r="E585" s="27">
        <v>14.54</v>
      </c>
      <c r="F585" s="6">
        <f aca="true" t="shared" si="5" ref="F585:F590">(D585*E585)/1000</f>
        <v>506.2828</v>
      </c>
    </row>
    <row r="586" spans="1:6" ht="12.75" customHeight="1">
      <c r="A586" s="105" t="s">
        <v>713</v>
      </c>
      <c r="B586" s="8" t="s">
        <v>956</v>
      </c>
      <c r="C586" s="9" t="s">
        <v>102</v>
      </c>
      <c r="D586" s="26">
        <v>11154</v>
      </c>
      <c r="E586" s="27">
        <v>792.09</v>
      </c>
      <c r="F586" s="6">
        <f t="shared" si="5"/>
        <v>8834.971860000001</v>
      </c>
    </row>
    <row r="587" spans="1:6" ht="12.75" customHeight="1">
      <c r="A587" s="105" t="s">
        <v>714</v>
      </c>
      <c r="B587" s="8" t="s">
        <v>971</v>
      </c>
      <c r="C587" s="9" t="s">
        <v>123</v>
      </c>
      <c r="D587" s="26">
        <v>21450</v>
      </c>
      <c r="E587" s="27">
        <v>63</v>
      </c>
      <c r="F587" s="6">
        <f t="shared" si="5"/>
        <v>1351.35</v>
      </c>
    </row>
    <row r="588" spans="1:6" ht="12.75" customHeight="1">
      <c r="A588" s="105" t="s">
        <v>715</v>
      </c>
      <c r="B588" s="8" t="s">
        <v>507</v>
      </c>
      <c r="C588" s="9" t="s">
        <v>123</v>
      </c>
      <c r="D588" s="26">
        <v>21450</v>
      </c>
      <c r="E588" s="27">
        <v>21</v>
      </c>
      <c r="F588" s="6">
        <f t="shared" si="5"/>
        <v>450.45</v>
      </c>
    </row>
    <row r="589" spans="1:6" ht="12.75" customHeight="1">
      <c r="A589" s="105" t="s">
        <v>716</v>
      </c>
      <c r="B589" s="8" t="s">
        <v>508</v>
      </c>
      <c r="C589" s="9" t="s">
        <v>46</v>
      </c>
      <c r="D589" s="26">
        <v>11570</v>
      </c>
      <c r="E589" s="27">
        <v>201.56</v>
      </c>
      <c r="F589" s="6">
        <f t="shared" si="5"/>
        <v>2332.0492000000004</v>
      </c>
    </row>
    <row r="590" spans="1:6" ht="12.75" customHeight="1">
      <c r="A590" s="105" t="s">
        <v>947</v>
      </c>
      <c r="B590" s="8" t="s">
        <v>509</v>
      </c>
      <c r="C590" s="9" t="s">
        <v>46</v>
      </c>
      <c r="D590" s="26">
        <v>760</v>
      </c>
      <c r="E590" s="27">
        <v>250.06</v>
      </c>
      <c r="F590" s="6">
        <f t="shared" si="5"/>
        <v>190.0456</v>
      </c>
    </row>
    <row r="591" spans="1:6" ht="12.75" customHeight="1">
      <c r="A591" s="105" t="s">
        <v>682</v>
      </c>
      <c r="B591" s="148" t="s">
        <v>673</v>
      </c>
      <c r="C591" s="95" t="s">
        <v>11</v>
      </c>
      <c r="D591" s="135"/>
      <c r="E591" s="27"/>
      <c r="F591" s="97">
        <f>SUM(F592,F595)</f>
        <v>22176.181394</v>
      </c>
    </row>
    <row r="592" spans="1:6" ht="12.75" customHeight="1">
      <c r="A592" s="105" t="s">
        <v>683</v>
      </c>
      <c r="B592" s="8" t="s">
        <v>94</v>
      </c>
      <c r="C592" s="9" t="s">
        <v>11</v>
      </c>
      <c r="D592" s="26"/>
      <c r="E592" s="27"/>
      <c r="F592" s="6">
        <f>SUM(F593:F594)</f>
        <v>16528.79745</v>
      </c>
    </row>
    <row r="593" spans="1:6" ht="12.75" customHeight="1">
      <c r="A593" s="105" t="s">
        <v>684</v>
      </c>
      <c r="B593" s="8" t="s">
        <v>96</v>
      </c>
      <c r="C593" s="9" t="s">
        <v>97</v>
      </c>
      <c r="D593" s="26">
        <v>1128435</v>
      </c>
      <c r="E593" s="27">
        <v>9.24</v>
      </c>
      <c r="F593" s="6">
        <f>(D593*E593)/1000</f>
        <v>10426.7394</v>
      </c>
    </row>
    <row r="594" spans="1:6" ht="12.75" customHeight="1">
      <c r="A594" s="105" t="s">
        <v>685</v>
      </c>
      <c r="B594" s="8" t="s">
        <v>124</v>
      </c>
      <c r="C594" s="9" t="s">
        <v>97</v>
      </c>
      <c r="D594" s="26">
        <v>279015</v>
      </c>
      <c r="E594" s="27">
        <v>21.87</v>
      </c>
      <c r="F594" s="6">
        <f>(D594*E594)/1000</f>
        <v>6102.05805</v>
      </c>
    </row>
    <row r="595" spans="1:6" ht="12.75" customHeight="1">
      <c r="A595" s="105" t="s">
        <v>717</v>
      </c>
      <c r="B595" s="28" t="s">
        <v>510</v>
      </c>
      <c r="C595" s="9" t="s">
        <v>11</v>
      </c>
      <c r="D595" s="26"/>
      <c r="E595" s="27"/>
      <c r="F595" s="6">
        <f>SUM(F596:F601)</f>
        <v>5647.383944</v>
      </c>
    </row>
    <row r="596" spans="1:6" ht="12.75" customHeight="1">
      <c r="A596" s="105" t="s">
        <v>718</v>
      </c>
      <c r="B596" s="8" t="s">
        <v>511</v>
      </c>
      <c r="C596" s="9" t="s">
        <v>97</v>
      </c>
      <c r="D596" s="26">
        <v>58585</v>
      </c>
      <c r="E596" s="27">
        <v>14.54</v>
      </c>
      <c r="F596" s="6">
        <f aca="true" t="shared" si="6" ref="F596:F601">(D596*E596)/1000</f>
        <v>851.8258999999999</v>
      </c>
    </row>
    <row r="597" spans="1:6" ht="12.75" customHeight="1">
      <c r="A597" s="105" t="s">
        <v>719</v>
      </c>
      <c r="B597" s="8" t="s">
        <v>956</v>
      </c>
      <c r="C597" s="9" t="s">
        <v>102</v>
      </c>
      <c r="D597" s="26">
        <v>4071.6</v>
      </c>
      <c r="E597" s="27">
        <v>792.09</v>
      </c>
      <c r="F597" s="6">
        <f t="shared" si="6"/>
        <v>3225.073644</v>
      </c>
    </row>
    <row r="598" spans="1:6" ht="12.75" customHeight="1">
      <c r="A598" s="105" t="s">
        <v>720</v>
      </c>
      <c r="B598" s="8" t="s">
        <v>971</v>
      </c>
      <c r="C598" s="9" t="s">
        <v>123</v>
      </c>
      <c r="D598" s="26">
        <v>7830</v>
      </c>
      <c r="E598" s="27">
        <v>63</v>
      </c>
      <c r="F598" s="6">
        <f t="shared" si="6"/>
        <v>493.29</v>
      </c>
    </row>
    <row r="599" spans="1:6" ht="12.75" customHeight="1">
      <c r="A599" s="105" t="s">
        <v>721</v>
      </c>
      <c r="B599" s="8" t="s">
        <v>507</v>
      </c>
      <c r="C599" s="9" t="s">
        <v>123</v>
      </c>
      <c r="D599" s="26">
        <v>7830</v>
      </c>
      <c r="E599" s="27">
        <v>21</v>
      </c>
      <c r="F599" s="6">
        <f t="shared" si="6"/>
        <v>164.43</v>
      </c>
    </row>
    <row r="600" spans="1:6" ht="12.75" customHeight="1">
      <c r="A600" s="105" t="s">
        <v>722</v>
      </c>
      <c r="B600" s="8" t="s">
        <v>508</v>
      </c>
      <c r="C600" s="9" t="s">
        <v>46</v>
      </c>
      <c r="D600" s="26">
        <v>4330</v>
      </c>
      <c r="E600" s="27">
        <v>201.56</v>
      </c>
      <c r="F600" s="6">
        <f t="shared" si="6"/>
        <v>872.7548</v>
      </c>
    </row>
    <row r="601" spans="1:6" ht="12.75" customHeight="1">
      <c r="A601" s="105" t="s">
        <v>948</v>
      </c>
      <c r="B601" s="8" t="s">
        <v>509</v>
      </c>
      <c r="C601" s="9" t="s">
        <v>46</v>
      </c>
      <c r="D601" s="26">
        <v>160</v>
      </c>
      <c r="E601" s="27">
        <v>250.06</v>
      </c>
      <c r="F601" s="6">
        <f t="shared" si="6"/>
        <v>40.0096</v>
      </c>
    </row>
    <row r="602" spans="1:6" ht="12.75" customHeight="1">
      <c r="A602" s="105" t="s">
        <v>686</v>
      </c>
      <c r="B602" s="148" t="s">
        <v>674</v>
      </c>
      <c r="C602" s="95" t="s">
        <v>11</v>
      </c>
      <c r="D602" s="135"/>
      <c r="E602" s="27"/>
      <c r="F602" s="97">
        <f>SUM(F603,F607,F614,F618,F622)</f>
        <v>353266.79448056</v>
      </c>
    </row>
    <row r="603" spans="1:6" ht="12.75" customHeight="1">
      <c r="A603" s="105" t="s">
        <v>687</v>
      </c>
      <c r="B603" s="8" t="s">
        <v>94</v>
      </c>
      <c r="C603" s="9" t="s">
        <v>11</v>
      </c>
      <c r="D603" s="26"/>
      <c r="E603" s="27"/>
      <c r="F603" s="6">
        <f>SUM(F604:F606)</f>
        <v>39042.13455</v>
      </c>
    </row>
    <row r="604" spans="1:6" ht="12.75" customHeight="1">
      <c r="A604" s="105" t="s">
        <v>688</v>
      </c>
      <c r="B604" s="8" t="s">
        <v>96</v>
      </c>
      <c r="C604" s="9" t="s">
        <v>97</v>
      </c>
      <c r="D604" s="26">
        <v>393675</v>
      </c>
      <c r="E604" s="27">
        <v>9.24</v>
      </c>
      <c r="F604" s="6">
        <f>(D604*E604)/1000</f>
        <v>3637.557</v>
      </c>
    </row>
    <row r="605" spans="1:6" ht="12.75" customHeight="1">
      <c r="A605" s="105" t="s">
        <v>689</v>
      </c>
      <c r="B605" s="8" t="s">
        <v>124</v>
      </c>
      <c r="C605" s="9" t="s">
        <v>97</v>
      </c>
      <c r="D605" s="26">
        <v>1071065</v>
      </c>
      <c r="E605" s="27">
        <v>21.87</v>
      </c>
      <c r="F605" s="6">
        <f>(D605*E605)/1000</f>
        <v>23424.19155</v>
      </c>
    </row>
    <row r="606" spans="1:6" ht="12.75" customHeight="1">
      <c r="A606" s="105" t="s">
        <v>690</v>
      </c>
      <c r="B606" s="8" t="s">
        <v>664</v>
      </c>
      <c r="C606" s="9" t="s">
        <v>97</v>
      </c>
      <c r="D606" s="26">
        <v>547800</v>
      </c>
      <c r="E606" s="27">
        <v>21.87</v>
      </c>
      <c r="F606" s="6">
        <f>(D606*E606)/1000</f>
        <v>11980.386</v>
      </c>
    </row>
    <row r="607" spans="1:6" ht="12.75" customHeight="1">
      <c r="A607" s="105" t="s">
        <v>691</v>
      </c>
      <c r="B607" s="28" t="s">
        <v>510</v>
      </c>
      <c r="C607" s="9" t="s">
        <v>11</v>
      </c>
      <c r="D607" s="26"/>
      <c r="E607" s="27"/>
      <c r="F607" s="6">
        <f>SUM(F608:F613)</f>
        <v>17834.369452</v>
      </c>
    </row>
    <row r="608" spans="1:6" ht="12.75" customHeight="1">
      <c r="A608" s="105" t="s">
        <v>723</v>
      </c>
      <c r="B608" s="8" t="s">
        <v>511</v>
      </c>
      <c r="C608" s="9" t="s">
        <v>97</v>
      </c>
      <c r="D608" s="26"/>
      <c r="E608" s="27"/>
      <c r="F608" s="6">
        <f aca="true" t="shared" si="7" ref="F608:F613">(D608*E608)/1000</f>
        <v>0</v>
      </c>
    </row>
    <row r="609" spans="1:6" ht="12.75" customHeight="1">
      <c r="A609" s="105" t="s">
        <v>724</v>
      </c>
      <c r="B609" s="8" t="s">
        <v>942</v>
      </c>
      <c r="C609" s="9" t="s">
        <v>102</v>
      </c>
      <c r="D609" s="26">
        <v>15802.8</v>
      </c>
      <c r="E609" s="27">
        <v>792.09</v>
      </c>
      <c r="F609" s="6">
        <f t="shared" si="7"/>
        <v>12517.239852</v>
      </c>
    </row>
    <row r="610" spans="1:6" ht="12.75" customHeight="1">
      <c r="A610" s="105" t="s">
        <v>725</v>
      </c>
      <c r="B610" s="8" t="s">
        <v>971</v>
      </c>
      <c r="C610" s="9" t="s">
        <v>123</v>
      </c>
      <c r="D610" s="26">
        <v>30390</v>
      </c>
      <c r="E610" s="27">
        <v>63</v>
      </c>
      <c r="F610" s="6">
        <f t="shared" si="7"/>
        <v>1914.57</v>
      </c>
    </row>
    <row r="611" spans="1:6" ht="12.75" customHeight="1">
      <c r="A611" s="105" t="s">
        <v>726</v>
      </c>
      <c r="B611" s="8" t="s">
        <v>507</v>
      </c>
      <c r="C611" s="9" t="s">
        <v>123</v>
      </c>
      <c r="D611" s="26">
        <v>20390</v>
      </c>
      <c r="E611" s="27">
        <v>21</v>
      </c>
      <c r="F611" s="6">
        <f t="shared" si="7"/>
        <v>428.19</v>
      </c>
    </row>
    <row r="612" spans="1:6" ht="12.75" customHeight="1">
      <c r="A612" s="105" t="s">
        <v>727</v>
      </c>
      <c r="B612" s="8" t="s">
        <v>508</v>
      </c>
      <c r="C612" s="9" t="s">
        <v>46</v>
      </c>
      <c r="D612" s="26">
        <v>11680</v>
      </c>
      <c r="E612" s="27">
        <v>201.56</v>
      </c>
      <c r="F612" s="6">
        <f t="shared" si="7"/>
        <v>2354.2207999999996</v>
      </c>
    </row>
    <row r="613" spans="1:6" ht="12.75" customHeight="1">
      <c r="A613" s="105" t="s">
        <v>949</v>
      </c>
      <c r="B613" s="8" t="s">
        <v>509</v>
      </c>
      <c r="C613" s="9" t="s">
        <v>46</v>
      </c>
      <c r="D613" s="26">
        <v>2480</v>
      </c>
      <c r="E613" s="27">
        <v>250.06</v>
      </c>
      <c r="F613" s="6">
        <f t="shared" si="7"/>
        <v>620.1488</v>
      </c>
    </row>
    <row r="614" spans="1:6" ht="12.75" customHeight="1">
      <c r="A614" s="105" t="s">
        <v>692</v>
      </c>
      <c r="B614" s="8" t="s">
        <v>982</v>
      </c>
      <c r="C614" s="9" t="s">
        <v>239</v>
      </c>
      <c r="D614" s="26"/>
      <c r="E614" s="27"/>
      <c r="F614" s="6">
        <f>SUM(F615:F617)</f>
        <v>3450.982885</v>
      </c>
    </row>
    <row r="615" spans="1:6" ht="12.75" customHeight="1">
      <c r="A615" s="105" t="s">
        <v>983</v>
      </c>
      <c r="B615" s="8" t="s">
        <v>986</v>
      </c>
      <c r="C615" s="9" t="s">
        <v>981</v>
      </c>
      <c r="D615" s="26">
        <v>13900</v>
      </c>
      <c r="E615" s="27">
        <v>46.71</v>
      </c>
      <c r="F615" s="6">
        <f>(D615*E615)/1000</f>
        <v>649.269</v>
      </c>
    </row>
    <row r="616" spans="1:6" ht="12.75" customHeight="1">
      <c r="A616" s="105" t="s">
        <v>984</v>
      </c>
      <c r="B616" s="8" t="s">
        <v>987</v>
      </c>
      <c r="C616" s="9" t="s">
        <v>981</v>
      </c>
      <c r="D616" s="26">
        <v>1876.5</v>
      </c>
      <c r="E616" s="27">
        <v>792.09</v>
      </c>
      <c r="F616" s="6">
        <f>(D616*E616)/1000</f>
        <v>1486.356885</v>
      </c>
    </row>
    <row r="617" spans="1:6" ht="12.75" customHeight="1">
      <c r="A617" s="105" t="s">
        <v>985</v>
      </c>
      <c r="B617" s="8" t="s">
        <v>988</v>
      </c>
      <c r="C617" s="9" t="s">
        <v>1032</v>
      </c>
      <c r="D617" s="26">
        <v>6950</v>
      </c>
      <c r="E617" s="27">
        <v>189.26</v>
      </c>
      <c r="F617" s="6">
        <f>(D617*E617)/1000</f>
        <v>1315.357</v>
      </c>
    </row>
    <row r="618" spans="1:6" ht="12.75" customHeight="1">
      <c r="A618" s="105" t="s">
        <v>693</v>
      </c>
      <c r="B618" s="8" t="s">
        <v>101</v>
      </c>
      <c r="C618" s="9" t="s">
        <v>11</v>
      </c>
      <c r="D618" s="26"/>
      <c r="E618" s="27"/>
      <c r="F618" s="6">
        <f>SUM(F619:F621)</f>
        <v>292153.66450356</v>
      </c>
    </row>
    <row r="619" spans="1:6" ht="12.75" customHeight="1">
      <c r="A619" s="105" t="s">
        <v>695</v>
      </c>
      <c r="B619" s="8" t="s">
        <v>942</v>
      </c>
      <c r="C619" s="9" t="s">
        <v>102</v>
      </c>
      <c r="D619" s="26">
        <v>83439.6</v>
      </c>
      <c r="E619" s="27">
        <v>792.09</v>
      </c>
      <c r="F619" s="6">
        <f>(D619*E619)/1000</f>
        <v>66091.672764</v>
      </c>
    </row>
    <row r="620" spans="1:6" ht="12.75" customHeight="1">
      <c r="A620" s="105" t="s">
        <v>696</v>
      </c>
      <c r="B620" s="8" t="s">
        <v>103</v>
      </c>
      <c r="C620" s="9" t="s">
        <v>97</v>
      </c>
      <c r="D620" s="26">
        <v>309035.57</v>
      </c>
      <c r="E620" s="27">
        <v>258.27</v>
      </c>
      <c r="F620" s="6">
        <f>(D620*E620)/1000</f>
        <v>79814.6166639</v>
      </c>
    </row>
    <row r="621" spans="1:6" ht="12.75" customHeight="1">
      <c r="A621" s="105" t="s">
        <v>697</v>
      </c>
      <c r="B621" s="8" t="s">
        <v>104</v>
      </c>
      <c r="C621" s="9" t="s">
        <v>102</v>
      </c>
      <c r="D621" s="26">
        <f>0.06*D620</f>
        <v>18542.1342</v>
      </c>
      <c r="E621" s="27">
        <v>7887.3</v>
      </c>
      <c r="F621" s="6">
        <f>(D621*E621)/1000</f>
        <v>146247.37507566</v>
      </c>
    </row>
    <row r="622" spans="1:6" ht="12.75" customHeight="1">
      <c r="A622" s="105" t="s">
        <v>694</v>
      </c>
      <c r="B622" s="8" t="s">
        <v>289</v>
      </c>
      <c r="C622" s="165" t="s">
        <v>97</v>
      </c>
      <c r="D622" s="26">
        <v>79923</v>
      </c>
      <c r="E622" s="27">
        <v>9.83</v>
      </c>
      <c r="F622" s="6">
        <f>(D622*E622)/1000</f>
        <v>785.6430899999999</v>
      </c>
    </row>
    <row r="623" spans="1:6" ht="12.75" customHeight="1">
      <c r="A623" s="105" t="s">
        <v>698</v>
      </c>
      <c r="B623" s="8" t="s">
        <v>665</v>
      </c>
      <c r="C623" s="9" t="s">
        <v>11</v>
      </c>
      <c r="D623" s="26"/>
      <c r="E623" s="27"/>
      <c r="F623" s="136">
        <f>F624</f>
        <v>54378.814</v>
      </c>
    </row>
    <row r="624" spans="1:6" ht="12.75" customHeight="1">
      <c r="A624" s="105" t="s">
        <v>700</v>
      </c>
      <c r="B624" s="8" t="s">
        <v>666</v>
      </c>
      <c r="C624" s="9" t="s">
        <v>11</v>
      </c>
      <c r="D624" s="26"/>
      <c r="E624" s="27"/>
      <c r="F624" s="103">
        <f>SUM(F625:F636)</f>
        <v>54378.814</v>
      </c>
    </row>
    <row r="625" spans="1:6" ht="12.75" customHeight="1">
      <c r="A625" s="105" t="s">
        <v>701</v>
      </c>
      <c r="B625" s="8" t="s">
        <v>667</v>
      </c>
      <c r="C625" s="9" t="s">
        <v>668</v>
      </c>
      <c r="D625" s="26">
        <v>4</v>
      </c>
      <c r="E625" s="27">
        <v>68000</v>
      </c>
      <c r="F625" s="103">
        <f aca="true" t="shared" si="8" ref="F625:F634">D625*E625/1000</f>
        <v>272</v>
      </c>
    </row>
    <row r="626" spans="1:6" ht="12.75" customHeight="1">
      <c r="A626" s="105" t="s">
        <v>702</v>
      </c>
      <c r="B626" s="8" t="s">
        <v>896</v>
      </c>
      <c r="C626" s="9" t="s">
        <v>668</v>
      </c>
      <c r="D626" s="26">
        <v>8</v>
      </c>
      <c r="E626" s="27">
        <v>140000</v>
      </c>
      <c r="F626" s="103">
        <f t="shared" si="8"/>
        <v>1120</v>
      </c>
    </row>
    <row r="627" spans="1:6" ht="12.75" customHeight="1">
      <c r="A627" s="105" t="s">
        <v>703</v>
      </c>
      <c r="B627" s="8" t="s">
        <v>895</v>
      </c>
      <c r="C627" s="9" t="s">
        <v>668</v>
      </c>
      <c r="D627" s="26">
        <v>8</v>
      </c>
      <c r="E627" s="27">
        <v>40000</v>
      </c>
      <c r="F627" s="103">
        <f t="shared" si="8"/>
        <v>320</v>
      </c>
    </row>
    <row r="628" spans="1:6" ht="12.75" customHeight="1">
      <c r="A628" s="105" t="s">
        <v>704</v>
      </c>
      <c r="B628" s="8" t="s">
        <v>914</v>
      </c>
      <c r="C628" s="9" t="s">
        <v>668</v>
      </c>
      <c r="D628" s="26">
        <v>2</v>
      </c>
      <c r="E628" s="27">
        <v>225000</v>
      </c>
      <c r="F628" s="103">
        <f t="shared" si="8"/>
        <v>450</v>
      </c>
    </row>
    <row r="629" spans="1:6" ht="12.75" customHeight="1">
      <c r="A629" s="105" t="s">
        <v>705</v>
      </c>
      <c r="B629" s="8" t="s">
        <v>915</v>
      </c>
      <c r="C629" s="9" t="s">
        <v>668</v>
      </c>
      <c r="D629" s="26">
        <v>2</v>
      </c>
      <c r="E629" s="27">
        <v>225000</v>
      </c>
      <c r="F629" s="103">
        <f t="shared" si="8"/>
        <v>450</v>
      </c>
    </row>
    <row r="630" spans="1:6" ht="12.75" customHeight="1">
      <c r="A630" s="105" t="s">
        <v>706</v>
      </c>
      <c r="B630" s="8" t="s">
        <v>669</v>
      </c>
      <c r="C630" s="9" t="s">
        <v>668</v>
      </c>
      <c r="D630" s="26">
        <v>1</v>
      </c>
      <c r="E630" s="27">
        <v>6250000</v>
      </c>
      <c r="F630" s="103">
        <f t="shared" si="8"/>
        <v>6250</v>
      </c>
    </row>
    <row r="631" spans="1:6" ht="12.75" customHeight="1">
      <c r="A631" s="105" t="s">
        <v>707</v>
      </c>
      <c r="B631" s="8" t="s">
        <v>670</v>
      </c>
      <c r="C631" s="9" t="s">
        <v>668</v>
      </c>
      <c r="D631" s="26">
        <v>1</v>
      </c>
      <c r="E631" s="27">
        <v>16600000</v>
      </c>
      <c r="F631" s="103">
        <f t="shared" si="8"/>
        <v>16600</v>
      </c>
    </row>
    <row r="632" spans="1:6" ht="12.75" customHeight="1">
      <c r="A632" s="105" t="s">
        <v>708</v>
      </c>
      <c r="B632" s="8" t="s">
        <v>671</v>
      </c>
      <c r="C632" s="9" t="s">
        <v>668</v>
      </c>
      <c r="D632" s="26">
        <v>2</v>
      </c>
      <c r="E632" s="27">
        <v>3435000</v>
      </c>
      <c r="F632" s="103">
        <f t="shared" si="8"/>
        <v>6870</v>
      </c>
    </row>
    <row r="633" spans="1:6" ht="12.75" customHeight="1">
      <c r="A633" s="105" t="s">
        <v>709</v>
      </c>
      <c r="B633" s="8" t="s">
        <v>892</v>
      </c>
      <c r="C633" s="9" t="s">
        <v>668</v>
      </c>
      <c r="D633" s="26">
        <v>4</v>
      </c>
      <c r="E633" s="27">
        <v>300000</v>
      </c>
      <c r="F633" s="103">
        <f t="shared" si="8"/>
        <v>1200</v>
      </c>
    </row>
    <row r="634" spans="1:6" ht="12.75" customHeight="1">
      <c r="A634" s="105" t="s">
        <v>710</v>
      </c>
      <c r="B634" s="8" t="s">
        <v>672</v>
      </c>
      <c r="C634" s="9" t="s">
        <v>668</v>
      </c>
      <c r="D634" s="26">
        <v>2</v>
      </c>
      <c r="E634" s="27">
        <v>169470</v>
      </c>
      <c r="F634" s="103">
        <f t="shared" si="8"/>
        <v>338.94</v>
      </c>
    </row>
    <row r="635" spans="1:6" ht="12.75" customHeight="1">
      <c r="A635" s="105" t="s">
        <v>886</v>
      </c>
      <c r="B635" s="8" t="s">
        <v>894</v>
      </c>
      <c r="C635" s="9" t="s">
        <v>668</v>
      </c>
      <c r="D635" s="26"/>
      <c r="E635" s="27"/>
      <c r="F635" s="103">
        <f>SUM(F625:F634)*0.1</f>
        <v>3387.0940000000005</v>
      </c>
    </row>
    <row r="636" spans="1:6" ht="12.75" customHeight="1">
      <c r="A636" s="105" t="s">
        <v>893</v>
      </c>
      <c r="B636" s="8" t="s">
        <v>887</v>
      </c>
      <c r="C636" s="9" t="s">
        <v>11</v>
      </c>
      <c r="D636" s="26"/>
      <c r="E636" s="27"/>
      <c r="F636" s="103">
        <v>17120.78</v>
      </c>
    </row>
    <row r="637" spans="1:6" ht="12.75" customHeight="1">
      <c r="A637" s="106"/>
      <c r="B637" s="8" t="s">
        <v>156</v>
      </c>
      <c r="C637" s="9" t="s">
        <v>11</v>
      </c>
      <c r="D637" s="26"/>
      <c r="E637" s="27"/>
      <c r="F637" s="6">
        <f>SUM(F580,F591,F602)</f>
        <v>425844.51763456</v>
      </c>
    </row>
    <row r="638" spans="1:6" ht="12.75" customHeight="1">
      <c r="A638" s="106"/>
      <c r="B638" s="8" t="s">
        <v>158</v>
      </c>
      <c r="C638" s="9" t="s">
        <v>11</v>
      </c>
      <c r="D638" s="26"/>
      <c r="E638" s="27"/>
      <c r="F638" s="6">
        <f>F623</f>
        <v>54378.814</v>
      </c>
    </row>
    <row r="639" spans="1:6" ht="11.25">
      <c r="A639" s="106"/>
      <c r="B639" s="8"/>
      <c r="C639" s="9"/>
      <c r="D639" s="26"/>
      <c r="E639" s="27"/>
      <c r="F639" s="6"/>
    </row>
    <row r="640" spans="1:6" ht="11.25">
      <c r="A640" s="105" t="s">
        <v>699</v>
      </c>
      <c r="B640" s="8" t="s">
        <v>918</v>
      </c>
      <c r="C640" s="5" t="s">
        <v>87</v>
      </c>
      <c r="D640" s="26">
        <v>10</v>
      </c>
      <c r="E640" s="27"/>
      <c r="F640" s="6">
        <f>F637*D640/100</f>
        <v>42584.451763455996</v>
      </c>
    </row>
    <row r="641" spans="1:6" ht="12" thickBot="1">
      <c r="A641" s="164" t="s">
        <v>916</v>
      </c>
      <c r="B641" s="166" t="s">
        <v>917</v>
      </c>
      <c r="C641" s="167" t="s">
        <v>87</v>
      </c>
      <c r="D641" s="168">
        <v>10</v>
      </c>
      <c r="E641" s="169"/>
      <c r="F641" s="170">
        <f>F638*D641/100</f>
        <v>5437.8814</v>
      </c>
    </row>
    <row r="642" spans="1:6" ht="12" thickTop="1">
      <c r="A642" s="77"/>
      <c r="B642" s="77"/>
      <c r="C642" s="78"/>
      <c r="D642" s="79"/>
      <c r="E642" s="80"/>
      <c r="F642" s="74"/>
    </row>
    <row r="643" spans="2:4" ht="12.75">
      <c r="B643" s="190" t="s">
        <v>1018</v>
      </c>
      <c r="C643" s="190"/>
      <c r="D643" s="190"/>
    </row>
    <row r="644" ht="13.5" thickBot="1"/>
    <row r="645" spans="2:4" ht="27" customHeight="1" thickBot="1" thickTop="1">
      <c r="B645" s="202" t="s">
        <v>4</v>
      </c>
      <c r="C645" s="203" t="s">
        <v>5</v>
      </c>
      <c r="D645" s="204" t="s">
        <v>6</v>
      </c>
    </row>
    <row r="646" spans="2:4" ht="12.75">
      <c r="B646" s="200"/>
      <c r="C646" s="201"/>
      <c r="D646" s="191"/>
    </row>
    <row r="647" spans="2:4" ht="12.75">
      <c r="B647" s="197" t="s">
        <v>1006</v>
      </c>
      <c r="C647" s="198" t="s">
        <v>97</v>
      </c>
      <c r="D647" s="199">
        <f>D133+D343+D390+D405+D420+D455+D470+D454+D469+D389+D404+D582+D593+D604</f>
        <v>23655357</v>
      </c>
    </row>
    <row r="648" spans="2:4" ht="12.75">
      <c r="B648" s="192" t="s">
        <v>1007</v>
      </c>
      <c r="C648" s="95" t="s">
        <v>97</v>
      </c>
      <c r="D648" s="193">
        <f>D392+D407+D457+D472+D456+D471+D391+D406+D135+D422+D267+D134+D344+D421+D345+D266+D583+D594+D605+D606</f>
        <v>35804641.72</v>
      </c>
    </row>
    <row r="649" spans="2:4" ht="12.75">
      <c r="B649" s="192" t="s">
        <v>1012</v>
      </c>
      <c r="C649" s="95" t="s">
        <v>97</v>
      </c>
      <c r="D649" s="193">
        <f>D393+D408</f>
        <v>1886907</v>
      </c>
    </row>
    <row r="650" spans="2:4" ht="12.75">
      <c r="B650" s="192" t="s">
        <v>1014</v>
      </c>
      <c r="C650" s="95" t="s">
        <v>123</v>
      </c>
      <c r="D650" s="193">
        <f>D270+D289+D309+D328+D347+D424+D137+D615</f>
        <v>207035</v>
      </c>
    </row>
    <row r="651" spans="2:4" ht="12.75">
      <c r="B651" s="192" t="s">
        <v>1017</v>
      </c>
      <c r="C651" s="95" t="s">
        <v>102</v>
      </c>
      <c r="D651" s="193">
        <f>D294+D296+D301+D315+D320+D332+D337+D352+D355+D429+D396+D411+D461+D476+D312+D329+D138+D142+D147+D152+D157+D274+D609+D619+D586+D597+D616</f>
        <v>744138.83</v>
      </c>
    </row>
    <row r="652" spans="2:4" ht="12.75">
      <c r="B652" s="192" t="s">
        <v>1008</v>
      </c>
      <c r="C652" s="95" t="s">
        <v>97</v>
      </c>
      <c r="D652" s="193">
        <f>D300+D319+D336</f>
        <v>136560</v>
      </c>
    </row>
    <row r="653" spans="2:4" ht="12.75">
      <c r="B653" s="192" t="s">
        <v>1009</v>
      </c>
      <c r="C653" s="95" t="s">
        <v>97</v>
      </c>
      <c r="D653" s="193">
        <f>D351+D139+D313+D330+D293+D273+D617</f>
        <v>59350.880000000005</v>
      </c>
    </row>
    <row r="654" spans="2:4" ht="12.75">
      <c r="B654" s="192" t="s">
        <v>1011</v>
      </c>
      <c r="C654" s="95" t="s">
        <v>97</v>
      </c>
      <c r="D654" s="193">
        <f>D143+D148+D153+D158+D297+D316+D333+D354+D428+D620</f>
        <v>2431525.57</v>
      </c>
    </row>
    <row r="655" spans="2:4" ht="12.75">
      <c r="B655" s="192" t="s">
        <v>1013</v>
      </c>
      <c r="C655" s="95" t="s">
        <v>123</v>
      </c>
      <c r="D655" s="193">
        <f>D462+D397+D412+D477+D587+D598+D610</f>
        <v>111435</v>
      </c>
    </row>
    <row r="656" spans="2:4" ht="12.75">
      <c r="B656" s="192" t="s">
        <v>1016</v>
      </c>
      <c r="C656" s="95" t="s">
        <v>102</v>
      </c>
      <c r="D656" s="193">
        <f>D144+D149+D154+D159+D298+D317+D334+D356+D430+D621</f>
        <v>145891.5342</v>
      </c>
    </row>
    <row r="657" spans="2:4" ht="12.75">
      <c r="B657" s="192" t="s">
        <v>1020</v>
      </c>
      <c r="C657" s="95" t="s">
        <v>97</v>
      </c>
      <c r="D657" s="193">
        <f>D171+D175+D185+D189+D193+D197+D201+D205+D247+D255+D230+D234+D238+D242</f>
        <v>4084470</v>
      </c>
    </row>
    <row r="658" spans="2:4" ht="12.75">
      <c r="B658" s="192" t="s">
        <v>1021</v>
      </c>
      <c r="C658" s="95" t="s">
        <v>97</v>
      </c>
      <c r="D658" s="193">
        <f>D172+D176+D186+D190+D194+D198+D202+D206+D248+D256+D280+D231+D235+D239+D243</f>
        <v>270810</v>
      </c>
    </row>
    <row r="659" spans="2:4" ht="12.75">
      <c r="B659" s="192" t="s">
        <v>1010</v>
      </c>
      <c r="C659" s="95" t="s">
        <v>97</v>
      </c>
      <c r="D659" s="193">
        <f>D173+D177+D249+D257</f>
        <v>110600</v>
      </c>
    </row>
    <row r="660" spans="2:4" ht="12.75">
      <c r="B660" s="192" t="s">
        <v>1022</v>
      </c>
      <c r="C660" s="95" t="s">
        <v>97</v>
      </c>
      <c r="D660" s="193">
        <f>D395+D410+D460+D475+D277+D187+D191+D195+D199+D203+D207+D229+D233+D237+D241+D585+D596</f>
        <v>2196772</v>
      </c>
    </row>
    <row r="661" spans="2:4" ht="12.75">
      <c r="B661" s="179" t="s">
        <v>1015</v>
      </c>
      <c r="C661" s="95" t="s">
        <v>97</v>
      </c>
      <c r="D661" s="193">
        <f>D278</f>
        <v>269450</v>
      </c>
    </row>
    <row r="662" spans="2:4" ht="13.5" thickBot="1">
      <c r="B662" s="194" t="s">
        <v>1019</v>
      </c>
      <c r="C662" s="195" t="s">
        <v>97</v>
      </c>
      <c r="D662" s="196">
        <f>D622</f>
        <v>79923</v>
      </c>
    </row>
    <row r="663" ht="13.5" thickTop="1"/>
  </sheetData>
  <autoFilter ref="A12:F578"/>
  <mergeCells count="4">
    <mergeCell ref="A1:F1"/>
    <mergeCell ref="A3:F3"/>
    <mergeCell ref="A2:F2"/>
    <mergeCell ref="B643:D643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8" r:id="rId1"/>
  <headerFooter alignWithMargins="0">
    <oddFooter>&amp;L&amp;F&amp;R&amp;P/&amp;N</oddFooter>
  </headerFooter>
  <rowBreaks count="5" manualBreakCount="5">
    <brk id="392" max="5" man="1"/>
    <brk id="457" max="5" man="1"/>
    <brk id="522" max="5" man="1"/>
    <brk id="578" max="5" man="1"/>
    <brk id="6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1"/>
  <sheetViews>
    <sheetView view="pageBreakPreview" zoomScaleSheetLayoutView="100" workbookViewId="0" topLeftCell="A211">
      <selection activeCell="D219" sqref="D219"/>
    </sheetView>
  </sheetViews>
  <sheetFormatPr defaultColWidth="9.625" defaultRowHeight="12.75"/>
  <cols>
    <col min="1" max="1" width="14.875" style="54" customWidth="1"/>
    <col min="2" max="2" width="54.125" style="54" customWidth="1"/>
    <col min="3" max="3" width="3.875" style="54" customWidth="1"/>
    <col min="4" max="4" width="10.50390625" style="54" customWidth="1"/>
    <col min="5" max="5" width="13.375" style="54" customWidth="1"/>
    <col min="6" max="6" width="13.75390625" style="54" customWidth="1"/>
    <col min="7" max="7" width="10.25390625" style="15" bestFit="1" customWidth="1"/>
    <col min="8" max="8" width="10.25390625" style="15" customWidth="1"/>
    <col min="9" max="9" width="12.25390625" style="15" customWidth="1"/>
    <col min="10" max="20" width="9.625" style="15" customWidth="1"/>
    <col min="21" max="16384" width="9.625" style="15" customWidth="1"/>
  </cols>
  <sheetData>
    <row r="1" spans="1:7" s="159" customFormat="1" ht="15" customHeight="1">
      <c r="A1" s="189" t="s">
        <v>920</v>
      </c>
      <c r="B1" s="189"/>
      <c r="C1" s="189"/>
      <c r="D1" s="189"/>
      <c r="E1" s="189"/>
      <c r="F1" s="189"/>
      <c r="G1" s="158"/>
    </row>
    <row r="2" spans="1:7" s="159" customFormat="1" ht="15" customHeight="1">
      <c r="A2" s="189" t="s">
        <v>919</v>
      </c>
      <c r="B2" s="189"/>
      <c r="C2" s="189"/>
      <c r="D2" s="189"/>
      <c r="E2" s="189"/>
      <c r="F2" s="189"/>
      <c r="G2" s="158"/>
    </row>
    <row r="3" spans="1:7" s="159" customFormat="1" ht="15" customHeight="1">
      <c r="A3" s="189" t="s">
        <v>0</v>
      </c>
      <c r="B3" s="189"/>
      <c r="C3" s="189"/>
      <c r="D3" s="189"/>
      <c r="E3" s="189"/>
      <c r="F3" s="189"/>
      <c r="G3" s="158"/>
    </row>
    <row r="4" spans="1:6" ht="15" customHeight="1">
      <c r="A4" s="61" t="s">
        <v>323</v>
      </c>
      <c r="B4" s="62"/>
      <c r="C4" s="63"/>
      <c r="D4" s="100" t="s">
        <v>647</v>
      </c>
      <c r="E4" s="64"/>
      <c r="F4" s="65"/>
    </row>
    <row r="5" spans="1:6" ht="15" customHeight="1">
      <c r="A5" s="66" t="s">
        <v>653</v>
      </c>
      <c r="B5" s="62"/>
      <c r="C5" s="63"/>
      <c r="D5" s="100" t="s">
        <v>648</v>
      </c>
      <c r="E5" s="64"/>
      <c r="F5" s="65"/>
    </row>
    <row r="6" spans="1:6" ht="15" customHeight="1">
      <c r="A6" s="61" t="s">
        <v>652</v>
      </c>
      <c r="B6" s="62"/>
      <c r="C6" s="63"/>
      <c r="D6" s="100" t="s">
        <v>649</v>
      </c>
      <c r="E6" s="64"/>
      <c r="F6" s="65"/>
    </row>
    <row r="7" spans="1:6" ht="15" customHeight="1">
      <c r="A7" s="61" t="s">
        <v>287</v>
      </c>
      <c r="B7" s="62"/>
      <c r="C7" s="63"/>
      <c r="D7" s="100" t="s">
        <v>650</v>
      </c>
      <c r="E7" s="64"/>
      <c r="F7" s="67"/>
    </row>
    <row r="8" spans="1:6" ht="15" customHeight="1">
      <c r="A8" s="61" t="s">
        <v>324</v>
      </c>
      <c r="B8" s="62"/>
      <c r="C8" s="63"/>
      <c r="D8" s="100" t="s">
        <v>654</v>
      </c>
      <c r="E8" s="64"/>
      <c r="F8" s="67"/>
    </row>
    <row r="9" spans="1:6" ht="15" customHeight="1">
      <c r="A9" s="66"/>
      <c r="B9" s="62"/>
      <c r="C9" s="63"/>
      <c r="D9" s="101" t="s">
        <v>651</v>
      </c>
      <c r="E9" s="64"/>
      <c r="F9" s="71">
        <v>3.05</v>
      </c>
    </row>
    <row r="10" spans="1:6" ht="12.75" customHeight="1">
      <c r="A10" s="88"/>
      <c r="B10" s="66"/>
      <c r="C10" s="63"/>
      <c r="D10" s="101"/>
      <c r="E10" s="64"/>
      <c r="F10" s="67"/>
    </row>
    <row r="11" spans="1:6" ht="12.75" customHeight="1" thickBot="1">
      <c r="A11" s="87"/>
      <c r="B11" s="66"/>
      <c r="C11" s="63"/>
      <c r="D11" s="101"/>
      <c r="E11" s="64"/>
      <c r="F11" s="67"/>
    </row>
    <row r="12" spans="1:6" s="16" customFormat="1" ht="12.75" customHeight="1" thickTop="1">
      <c r="A12" s="18"/>
      <c r="B12" s="19"/>
      <c r="C12" s="19"/>
      <c r="D12" s="20"/>
      <c r="E12" s="21" t="s">
        <v>1</v>
      </c>
      <c r="F12" s="22" t="s">
        <v>2</v>
      </c>
    </row>
    <row r="13" spans="1:6" s="16" customFormat="1" ht="12.75" customHeight="1" thickBot="1">
      <c r="A13" s="23" t="s">
        <v>3</v>
      </c>
      <c r="B13" s="13" t="s">
        <v>4</v>
      </c>
      <c r="C13" s="13" t="s">
        <v>5</v>
      </c>
      <c r="D13" s="14" t="s">
        <v>6</v>
      </c>
      <c r="E13" s="24" t="s">
        <v>7</v>
      </c>
      <c r="F13" s="25" t="s">
        <v>8</v>
      </c>
    </row>
    <row r="14" spans="1:6" ht="12.75" customHeight="1">
      <c r="A14" s="3"/>
      <c r="B14" s="4"/>
      <c r="C14" s="5"/>
      <c r="D14" s="26"/>
      <c r="E14" s="27"/>
      <c r="F14" s="6"/>
    </row>
    <row r="15" spans="1:6" ht="11.25">
      <c r="A15" s="7" t="s">
        <v>9</v>
      </c>
      <c r="B15" s="160" t="s">
        <v>10</v>
      </c>
      <c r="C15" s="5" t="s">
        <v>11</v>
      </c>
      <c r="D15" s="129"/>
      <c r="E15" s="129"/>
      <c r="F15" s="130">
        <f>SUM(F16,F37,F54,F127)</f>
        <v>513409.41599999997</v>
      </c>
    </row>
    <row r="16" spans="1:6" ht="12.75" customHeight="1">
      <c r="A16" s="7" t="s">
        <v>12</v>
      </c>
      <c r="B16" s="8" t="s">
        <v>13</v>
      </c>
      <c r="C16" s="5" t="s">
        <v>11</v>
      </c>
      <c r="D16" s="27"/>
      <c r="E16" s="27"/>
      <c r="F16" s="6">
        <f>SUM(F17,F24,F35,F36)</f>
        <v>123678.901</v>
      </c>
    </row>
    <row r="17" spans="1:6" ht="12.75" customHeight="1">
      <c r="A17" s="7" t="s">
        <v>14</v>
      </c>
      <c r="B17" s="8" t="s">
        <v>15</v>
      </c>
      <c r="C17" s="9" t="s">
        <v>11</v>
      </c>
      <c r="D17" s="26"/>
      <c r="E17" s="27"/>
      <c r="F17" s="6">
        <f>SUM(F18:F23)</f>
        <v>5156.224</v>
      </c>
    </row>
    <row r="18" spans="1:6" ht="12.75" customHeight="1">
      <c r="A18" s="7" t="s">
        <v>16</v>
      </c>
      <c r="B18" s="8" t="s">
        <v>17</v>
      </c>
      <c r="C18" s="9" t="s">
        <v>232</v>
      </c>
      <c r="D18" s="26">
        <v>1</v>
      </c>
      <c r="E18" s="27">
        <v>2590900</v>
      </c>
      <c r="F18" s="6">
        <f>D18*E18/1000</f>
        <v>2590.9</v>
      </c>
    </row>
    <row r="19" spans="1:6" ht="12.75" customHeight="1">
      <c r="A19" s="7" t="s">
        <v>18</v>
      </c>
      <c r="B19" s="8" t="s">
        <v>19</v>
      </c>
      <c r="C19" s="9" t="s">
        <v>232</v>
      </c>
      <c r="D19" s="26"/>
      <c r="E19" s="27"/>
      <c r="F19" s="6"/>
    </row>
    <row r="20" spans="1:6" ht="12.75" customHeight="1">
      <c r="A20" s="7" t="s">
        <v>327</v>
      </c>
      <c r="B20" s="8" t="s">
        <v>20</v>
      </c>
      <c r="C20" s="9" t="s">
        <v>232</v>
      </c>
      <c r="D20" s="26">
        <v>1</v>
      </c>
      <c r="E20" s="27">
        <v>2565324</v>
      </c>
      <c r="F20" s="6">
        <f>D20*E20/1000</f>
        <v>2565.324</v>
      </c>
    </row>
    <row r="21" spans="1:6" ht="12.75" customHeight="1">
      <c r="A21" s="7" t="s">
        <v>21</v>
      </c>
      <c r="B21" s="8" t="s">
        <v>22</v>
      </c>
      <c r="C21" s="9" t="s">
        <v>123</v>
      </c>
      <c r="D21" s="26"/>
      <c r="E21" s="27"/>
      <c r="F21" s="6"/>
    </row>
    <row r="22" spans="1:6" ht="12.75" customHeight="1">
      <c r="A22" s="7" t="s">
        <v>23</v>
      </c>
      <c r="B22" s="8" t="s">
        <v>24</v>
      </c>
      <c r="C22" s="9" t="s">
        <v>123</v>
      </c>
      <c r="D22" s="26"/>
      <c r="E22" s="27"/>
      <c r="F22" s="6"/>
    </row>
    <row r="23" spans="1:6" ht="12.75" customHeight="1">
      <c r="A23" s="7" t="s">
        <v>25</v>
      </c>
      <c r="B23" s="8" t="s">
        <v>328</v>
      </c>
      <c r="C23" s="9" t="s">
        <v>11</v>
      </c>
      <c r="D23" s="26"/>
      <c r="E23" s="27"/>
      <c r="F23" s="6"/>
    </row>
    <row r="24" spans="1:6" ht="12.75" customHeight="1">
      <c r="A24" s="7" t="s">
        <v>27</v>
      </c>
      <c r="B24" s="8" t="s">
        <v>329</v>
      </c>
      <c r="C24" s="9" t="s">
        <v>11</v>
      </c>
      <c r="D24" s="26"/>
      <c r="E24" s="27"/>
      <c r="F24" s="6">
        <f>SUM(F25:F34)</f>
        <v>102849.677</v>
      </c>
    </row>
    <row r="25" spans="1:6" ht="12.75" customHeight="1">
      <c r="A25" s="7" t="s">
        <v>330</v>
      </c>
      <c r="B25" s="8" t="s">
        <v>17</v>
      </c>
      <c r="C25" s="9" t="s">
        <v>232</v>
      </c>
      <c r="D25" s="26">
        <v>1</v>
      </c>
      <c r="E25" s="27">
        <v>6699181</v>
      </c>
      <c r="F25" s="6">
        <f aca="true" t="shared" si="0" ref="F25:F34">D25*E25/1000</f>
        <v>6699.181</v>
      </c>
    </row>
    <row r="26" spans="1:6" ht="12.75" customHeight="1">
      <c r="A26" s="7" t="s">
        <v>331</v>
      </c>
      <c r="B26" s="8" t="s">
        <v>332</v>
      </c>
      <c r="C26" s="9" t="s">
        <v>232</v>
      </c>
      <c r="D26" s="26"/>
      <c r="E26" s="27"/>
      <c r="F26" s="6">
        <f t="shared" si="0"/>
        <v>0</v>
      </c>
    </row>
    <row r="27" spans="1:6" ht="12.75" customHeight="1">
      <c r="A27" s="7" t="s">
        <v>28</v>
      </c>
      <c r="B27" s="8" t="s">
        <v>19</v>
      </c>
      <c r="C27" s="9" t="s">
        <v>232</v>
      </c>
      <c r="D27" s="26">
        <v>1</v>
      </c>
      <c r="E27" s="27">
        <v>107790</v>
      </c>
      <c r="F27" s="6">
        <f t="shared" si="0"/>
        <v>107.79</v>
      </c>
    </row>
    <row r="28" spans="1:6" ht="12.75" customHeight="1">
      <c r="A28" s="7" t="s">
        <v>333</v>
      </c>
      <c r="B28" s="8" t="s">
        <v>334</v>
      </c>
      <c r="C28" s="9" t="s">
        <v>232</v>
      </c>
      <c r="D28" s="26">
        <v>1</v>
      </c>
      <c r="E28" s="27">
        <v>2952204</v>
      </c>
      <c r="F28" s="6">
        <f t="shared" si="0"/>
        <v>2952.204</v>
      </c>
    </row>
    <row r="29" spans="1:6" ht="12.75" customHeight="1">
      <c r="A29" s="7" t="s">
        <v>335</v>
      </c>
      <c r="B29" s="8" t="s">
        <v>336</v>
      </c>
      <c r="C29" s="9" t="s">
        <v>232</v>
      </c>
      <c r="D29" s="26"/>
      <c r="E29" s="27"/>
      <c r="F29" s="6">
        <f t="shared" si="0"/>
        <v>0</v>
      </c>
    </row>
    <row r="30" spans="1:6" ht="12.75" customHeight="1">
      <c r="A30" s="7" t="s">
        <v>29</v>
      </c>
      <c r="B30" s="8" t="s">
        <v>30</v>
      </c>
      <c r="C30" s="9" t="s">
        <v>232</v>
      </c>
      <c r="D30" s="26">
        <v>1</v>
      </c>
      <c r="E30" s="27">
        <v>1578500</v>
      </c>
      <c r="F30" s="6">
        <f t="shared" si="0"/>
        <v>1578.5</v>
      </c>
    </row>
    <row r="31" spans="1:6" ht="12.75" customHeight="1">
      <c r="A31" s="7" t="s">
        <v>31</v>
      </c>
      <c r="B31" s="8" t="s">
        <v>32</v>
      </c>
      <c r="C31" s="9" t="s">
        <v>232</v>
      </c>
      <c r="D31" s="26"/>
      <c r="E31" s="27"/>
      <c r="F31" s="6">
        <f t="shared" si="0"/>
        <v>0</v>
      </c>
    </row>
    <row r="32" spans="1:6" ht="12.75" customHeight="1">
      <c r="A32" s="7" t="s">
        <v>33</v>
      </c>
      <c r="B32" s="8" t="s">
        <v>22</v>
      </c>
      <c r="C32" s="9" t="s">
        <v>232</v>
      </c>
      <c r="D32" s="26">
        <v>1</v>
      </c>
      <c r="E32" s="27">
        <v>30800</v>
      </c>
      <c r="F32" s="6">
        <f t="shared" si="0"/>
        <v>30.8</v>
      </c>
    </row>
    <row r="33" spans="1:6" ht="12.75" customHeight="1">
      <c r="A33" s="7" t="s">
        <v>34</v>
      </c>
      <c r="B33" s="8" t="s">
        <v>24</v>
      </c>
      <c r="C33" s="9" t="s">
        <v>232</v>
      </c>
      <c r="D33" s="26"/>
      <c r="E33" s="27"/>
      <c r="F33" s="6">
        <f t="shared" si="0"/>
        <v>0</v>
      </c>
    </row>
    <row r="34" spans="1:6" ht="12.75" customHeight="1">
      <c r="A34" s="7" t="s">
        <v>35</v>
      </c>
      <c r="B34" s="8" t="s">
        <v>337</v>
      </c>
      <c r="C34" s="9" t="s">
        <v>11</v>
      </c>
      <c r="D34" s="26">
        <v>1</v>
      </c>
      <c r="E34" s="27">
        <v>91481202</v>
      </c>
      <c r="F34" s="6">
        <f t="shared" si="0"/>
        <v>91481.202</v>
      </c>
    </row>
    <row r="35" spans="1:6" ht="12.75" customHeight="1">
      <c r="A35" s="7" t="s">
        <v>36</v>
      </c>
      <c r="B35" s="8" t="s">
        <v>37</v>
      </c>
      <c r="C35" s="9" t="s">
        <v>11</v>
      </c>
      <c r="D35" s="26"/>
      <c r="E35" s="73"/>
      <c r="F35" s="72">
        <v>3085</v>
      </c>
    </row>
    <row r="36" spans="1:6" ht="12.75" customHeight="1">
      <c r="A36" s="7" t="s">
        <v>38</v>
      </c>
      <c r="B36" s="8" t="s">
        <v>39</v>
      </c>
      <c r="C36" s="9" t="s">
        <v>11</v>
      </c>
      <c r="D36" s="26"/>
      <c r="E36" s="27"/>
      <c r="F36" s="6">
        <v>12588</v>
      </c>
    </row>
    <row r="37" spans="1:6" ht="12.75" customHeight="1">
      <c r="A37" s="7" t="s">
        <v>40</v>
      </c>
      <c r="B37" s="8" t="s">
        <v>41</v>
      </c>
      <c r="C37" s="5" t="s">
        <v>11</v>
      </c>
      <c r="D37" s="27"/>
      <c r="E37" s="27"/>
      <c r="F37" s="6">
        <f>SUM(F38:F46,F52:F53)</f>
        <v>101885.515</v>
      </c>
    </row>
    <row r="38" spans="1:6" ht="12.75" customHeight="1">
      <c r="A38" s="7" t="s">
        <v>353</v>
      </c>
      <c r="B38" s="8" t="s">
        <v>354</v>
      </c>
      <c r="C38" s="9" t="s">
        <v>42</v>
      </c>
      <c r="D38" s="26">
        <v>45</v>
      </c>
      <c r="E38" s="27">
        <v>797567</v>
      </c>
      <c r="F38" s="6">
        <f>D38*E38/1000</f>
        <v>35890.515</v>
      </c>
    </row>
    <row r="39" spans="1:6" ht="12.75" customHeight="1">
      <c r="A39" s="7" t="s">
        <v>355</v>
      </c>
      <c r="B39" s="8" t="s">
        <v>356</v>
      </c>
      <c r="C39" s="9" t="s">
        <v>42</v>
      </c>
      <c r="D39" s="26"/>
      <c r="E39" s="27"/>
      <c r="F39" s="6">
        <f>D39*E39/1000</f>
        <v>0</v>
      </c>
    </row>
    <row r="40" spans="1:6" ht="12.75" customHeight="1">
      <c r="A40" s="7" t="s">
        <v>43</v>
      </c>
      <c r="B40" s="8" t="s">
        <v>44</v>
      </c>
      <c r="C40" s="9" t="s">
        <v>42</v>
      </c>
      <c r="D40" s="26"/>
      <c r="E40" s="27"/>
      <c r="F40" s="6">
        <f>D40*E40/1000</f>
        <v>0</v>
      </c>
    </row>
    <row r="41" spans="1:6" ht="12.75" customHeight="1">
      <c r="A41" s="7" t="s">
        <v>357</v>
      </c>
      <c r="B41" s="8" t="s">
        <v>45</v>
      </c>
      <c r="C41" s="9" t="s">
        <v>46</v>
      </c>
      <c r="D41" s="26"/>
      <c r="E41" s="27"/>
      <c r="F41" s="6">
        <v>13800</v>
      </c>
    </row>
    <row r="42" spans="1:6" ht="12.75" customHeight="1">
      <c r="A42" s="7" t="s">
        <v>358</v>
      </c>
      <c r="B42" s="8" t="s">
        <v>359</v>
      </c>
      <c r="C42" s="9" t="s">
        <v>11</v>
      </c>
      <c r="D42" s="26"/>
      <c r="E42" s="27"/>
      <c r="F42" s="6"/>
    </row>
    <row r="43" spans="1:6" ht="12.75" customHeight="1">
      <c r="A43" s="7" t="s">
        <v>338</v>
      </c>
      <c r="B43" s="8" t="s">
        <v>360</v>
      </c>
      <c r="C43" s="9" t="s">
        <v>42</v>
      </c>
      <c r="D43" s="26"/>
      <c r="E43" s="27"/>
      <c r="F43" s="6">
        <v>6357</v>
      </c>
    </row>
    <row r="44" spans="1:6" ht="12.75" customHeight="1">
      <c r="A44" s="7" t="s">
        <v>339</v>
      </c>
      <c r="B44" s="8" t="s">
        <v>340</v>
      </c>
      <c r="C44" s="9" t="s">
        <v>42</v>
      </c>
      <c r="D44" s="26"/>
      <c r="E44" s="27"/>
      <c r="F44" s="6">
        <f>D44*E44/1000</f>
        <v>0</v>
      </c>
    </row>
    <row r="45" spans="1:6" ht="12.75" customHeight="1">
      <c r="A45" s="7" t="s">
        <v>47</v>
      </c>
      <c r="B45" s="8" t="s">
        <v>361</v>
      </c>
      <c r="C45" s="9" t="s">
        <v>11</v>
      </c>
      <c r="D45" s="26"/>
      <c r="E45" s="27"/>
      <c r="F45" s="6">
        <v>374</v>
      </c>
    </row>
    <row r="46" spans="1:6" ht="12.75" customHeight="1">
      <c r="A46" s="7" t="s">
        <v>48</v>
      </c>
      <c r="B46" s="8" t="s">
        <v>49</v>
      </c>
      <c r="C46" s="9" t="s">
        <v>11</v>
      </c>
      <c r="D46" s="26"/>
      <c r="E46" s="27"/>
      <c r="F46" s="6">
        <f>SUM(F47:F51)</f>
        <v>42339</v>
      </c>
    </row>
    <row r="47" spans="1:6" ht="12.75" customHeight="1">
      <c r="A47" s="7" t="s">
        <v>50</v>
      </c>
      <c r="B47" s="8" t="s">
        <v>341</v>
      </c>
      <c r="C47" s="9" t="s">
        <v>11</v>
      </c>
      <c r="D47" s="26"/>
      <c r="E47" s="27"/>
      <c r="F47" s="6">
        <v>12184</v>
      </c>
    </row>
    <row r="48" spans="1:6" ht="12.75" customHeight="1">
      <c r="A48" s="7" t="s">
        <v>51</v>
      </c>
      <c r="B48" s="8" t="s">
        <v>52</v>
      </c>
      <c r="C48" s="9" t="s">
        <v>11</v>
      </c>
      <c r="D48" s="26"/>
      <c r="E48" s="27"/>
      <c r="F48" s="6">
        <f>D48*E48/1000</f>
        <v>0</v>
      </c>
    </row>
    <row r="49" spans="1:6" ht="12.75" customHeight="1">
      <c r="A49" s="7" t="s">
        <v>53</v>
      </c>
      <c r="B49" s="8" t="s">
        <v>22</v>
      </c>
      <c r="C49" s="9" t="s">
        <v>11</v>
      </c>
      <c r="D49" s="26"/>
      <c r="E49" s="27"/>
      <c r="F49" s="6">
        <v>16564</v>
      </c>
    </row>
    <row r="50" spans="1:6" ht="12.75" customHeight="1">
      <c r="A50" s="7" t="s">
        <v>54</v>
      </c>
      <c r="B50" s="8" t="s">
        <v>24</v>
      </c>
      <c r="C50" s="9" t="s">
        <v>11</v>
      </c>
      <c r="D50" s="26"/>
      <c r="E50" s="27"/>
      <c r="F50" s="6">
        <f>D50*E50/1000</f>
        <v>0</v>
      </c>
    </row>
    <row r="51" spans="1:6" ht="12.75" customHeight="1">
      <c r="A51" s="7" t="s">
        <v>55</v>
      </c>
      <c r="B51" s="8" t="s">
        <v>26</v>
      </c>
      <c r="C51" s="9" t="s">
        <v>11</v>
      </c>
      <c r="D51" s="26"/>
      <c r="E51" s="27"/>
      <c r="F51" s="6">
        <v>13591</v>
      </c>
    </row>
    <row r="52" spans="1:6" ht="12.75" customHeight="1">
      <c r="A52" s="7" t="s">
        <v>56</v>
      </c>
      <c r="B52" s="8" t="s">
        <v>342</v>
      </c>
      <c r="C52" s="9" t="s">
        <v>11</v>
      </c>
      <c r="D52" s="26"/>
      <c r="E52" s="27"/>
      <c r="F52" s="6">
        <v>2150</v>
      </c>
    </row>
    <row r="53" spans="1:6" ht="12.75" customHeight="1">
      <c r="A53" s="7" t="s">
        <v>57</v>
      </c>
      <c r="B53" s="8" t="s">
        <v>39</v>
      </c>
      <c r="C53" s="9" t="s">
        <v>11</v>
      </c>
      <c r="D53" s="26"/>
      <c r="E53" s="27"/>
      <c r="F53" s="6">
        <v>975</v>
      </c>
    </row>
    <row r="54" spans="1:6" ht="12.75" customHeight="1">
      <c r="A54" s="7" t="s">
        <v>58</v>
      </c>
      <c r="B54" s="8" t="s">
        <v>59</v>
      </c>
      <c r="C54" s="5" t="s">
        <v>11</v>
      </c>
      <c r="D54" s="27"/>
      <c r="E54" s="27"/>
      <c r="F54" s="6">
        <f>SUM(F55,F61,F92,F121,F126)</f>
        <v>265626</v>
      </c>
    </row>
    <row r="55" spans="1:6" ht="12.75" customHeight="1">
      <c r="A55" s="7" t="s">
        <v>60</v>
      </c>
      <c r="B55" s="8" t="s">
        <v>61</v>
      </c>
      <c r="C55" s="9" t="s">
        <v>11</v>
      </c>
      <c r="D55" s="26"/>
      <c r="E55" s="27"/>
      <c r="F55" s="6">
        <f>SUM(F56:F60)</f>
        <v>3995</v>
      </c>
    </row>
    <row r="56" spans="1:6" ht="12.75" customHeight="1">
      <c r="A56" s="7" t="s">
        <v>738</v>
      </c>
      <c r="B56" s="8" t="s">
        <v>743</v>
      </c>
      <c r="C56" s="9" t="s">
        <v>11</v>
      </c>
      <c r="D56" s="26"/>
      <c r="E56" s="27"/>
      <c r="F56" s="6">
        <v>991</v>
      </c>
    </row>
    <row r="57" spans="1:6" ht="12.75" customHeight="1">
      <c r="A57" s="7" t="s">
        <v>739</v>
      </c>
      <c r="B57" s="8" t="s">
        <v>744</v>
      </c>
      <c r="C57" s="9" t="s">
        <v>11</v>
      </c>
      <c r="D57" s="26"/>
      <c r="E57" s="27"/>
      <c r="F57" s="6">
        <v>1500</v>
      </c>
    </row>
    <row r="58" spans="1:6" ht="12.75" customHeight="1">
      <c r="A58" s="7" t="s">
        <v>740</v>
      </c>
      <c r="B58" s="8" t="s">
        <v>745</v>
      </c>
      <c r="C58" s="9" t="s">
        <v>11</v>
      </c>
      <c r="D58" s="26"/>
      <c r="E58" s="27"/>
      <c r="F58" s="6">
        <v>275</v>
      </c>
    </row>
    <row r="59" spans="1:6" ht="12.75" customHeight="1">
      <c r="A59" s="7" t="s">
        <v>741</v>
      </c>
      <c r="B59" s="8" t="s">
        <v>746</v>
      </c>
      <c r="C59" s="9" t="s">
        <v>11</v>
      </c>
      <c r="D59" s="26"/>
      <c r="E59" s="27"/>
      <c r="F59" s="6">
        <v>249</v>
      </c>
    </row>
    <row r="60" spans="1:6" ht="12.75" customHeight="1">
      <c r="A60" s="7" t="s">
        <v>742</v>
      </c>
      <c r="B60" s="8" t="s">
        <v>747</v>
      </c>
      <c r="C60" s="9" t="s">
        <v>11</v>
      </c>
      <c r="D60" s="26"/>
      <c r="E60" s="27"/>
      <c r="F60" s="6">
        <v>980</v>
      </c>
    </row>
    <row r="61" spans="1:6" ht="12.75" customHeight="1">
      <c r="A61" s="7" t="s">
        <v>62</v>
      </c>
      <c r="B61" s="8" t="s">
        <v>63</v>
      </c>
      <c r="C61" s="9" t="s">
        <v>11</v>
      </c>
      <c r="D61" s="26"/>
      <c r="E61" s="27"/>
      <c r="F61" s="6">
        <f>SUM(F62:F82)-F72-F73-F74</f>
        <v>142471</v>
      </c>
    </row>
    <row r="62" spans="1:6" ht="12.75" customHeight="1">
      <c r="A62" s="7" t="s">
        <v>64</v>
      </c>
      <c r="B62" s="8" t="s">
        <v>65</v>
      </c>
      <c r="C62" s="9" t="s">
        <v>232</v>
      </c>
      <c r="D62" s="26">
        <v>10000</v>
      </c>
      <c r="E62" s="27">
        <v>1550</v>
      </c>
      <c r="F62" s="6">
        <f>D62*E62/1000</f>
        <v>15500</v>
      </c>
    </row>
    <row r="63" spans="1:6" ht="12.75" customHeight="1">
      <c r="A63" s="7" t="s">
        <v>343</v>
      </c>
      <c r="B63" s="8" t="s">
        <v>344</v>
      </c>
      <c r="C63" s="9" t="s">
        <v>87</v>
      </c>
      <c r="D63" s="76">
        <v>0.5</v>
      </c>
      <c r="E63" s="27">
        <v>8000000</v>
      </c>
      <c r="F63" s="6">
        <f>D63/100*E63</f>
        <v>40000</v>
      </c>
    </row>
    <row r="64" spans="1:6" ht="12.75" customHeight="1">
      <c r="A64" s="7" t="s">
        <v>345</v>
      </c>
      <c r="B64" s="8" t="s">
        <v>748</v>
      </c>
      <c r="C64" s="9" t="s">
        <v>749</v>
      </c>
      <c r="D64" s="26">
        <v>1</v>
      </c>
      <c r="E64" s="27"/>
      <c r="F64" s="6">
        <f>350000/1000</f>
        <v>350</v>
      </c>
    </row>
    <row r="65" spans="1:6" ht="12.75" customHeight="1">
      <c r="A65" s="7" t="s">
        <v>66</v>
      </c>
      <c r="B65" s="8" t="s">
        <v>750</v>
      </c>
      <c r="C65" s="9" t="s">
        <v>751</v>
      </c>
      <c r="D65" s="26">
        <v>4</v>
      </c>
      <c r="E65" s="27">
        <v>800000</v>
      </c>
      <c r="F65" s="131">
        <f>D65*E65/1000</f>
        <v>3200</v>
      </c>
    </row>
    <row r="66" spans="1:6" ht="12.75" customHeight="1">
      <c r="A66" s="7" t="s">
        <v>67</v>
      </c>
      <c r="B66" s="8" t="s">
        <v>68</v>
      </c>
      <c r="C66" s="9" t="s">
        <v>11</v>
      </c>
      <c r="D66" s="26"/>
      <c r="E66" s="27"/>
      <c r="F66" s="6">
        <v>9324</v>
      </c>
    </row>
    <row r="67" spans="1:6" ht="12.75" customHeight="1">
      <c r="A67" s="7" t="s">
        <v>752</v>
      </c>
      <c r="B67" s="8" t="s">
        <v>753</v>
      </c>
      <c r="C67" s="9" t="s">
        <v>751</v>
      </c>
      <c r="D67" s="26">
        <v>5</v>
      </c>
      <c r="E67" s="27">
        <v>500000</v>
      </c>
      <c r="F67" s="6">
        <f>D67*E67/1000</f>
        <v>2500</v>
      </c>
    </row>
    <row r="68" spans="1:6" ht="12.75" customHeight="1">
      <c r="A68" s="7" t="s">
        <v>756</v>
      </c>
      <c r="B68" s="8" t="s">
        <v>754</v>
      </c>
      <c r="C68" s="9" t="s">
        <v>751</v>
      </c>
      <c r="D68" s="26">
        <v>2</v>
      </c>
      <c r="E68" s="27">
        <v>750000</v>
      </c>
      <c r="F68" s="6">
        <f>D68*E68/1000</f>
        <v>1500</v>
      </c>
    </row>
    <row r="69" spans="1:6" ht="12.75" customHeight="1">
      <c r="A69" s="7" t="s">
        <v>757</v>
      </c>
      <c r="B69" s="8" t="s">
        <v>778</v>
      </c>
      <c r="C69" s="9" t="s">
        <v>751</v>
      </c>
      <c r="D69" s="26">
        <v>4</v>
      </c>
      <c r="E69" s="27">
        <v>187000</v>
      </c>
      <c r="F69" s="6">
        <f>D69*E69/1000</f>
        <v>748</v>
      </c>
    </row>
    <row r="70" spans="1:6" ht="12.75" customHeight="1">
      <c r="A70" s="7" t="s">
        <v>758</v>
      </c>
      <c r="B70" s="8" t="s">
        <v>761</v>
      </c>
      <c r="C70" s="9" t="s">
        <v>751</v>
      </c>
      <c r="D70" s="26">
        <v>4</v>
      </c>
      <c r="E70" s="27">
        <v>207000</v>
      </c>
      <c r="F70" s="6">
        <f>D70*E70/1000</f>
        <v>828</v>
      </c>
    </row>
    <row r="71" spans="1:6" ht="12.75" customHeight="1">
      <c r="A71" s="7" t="s">
        <v>759</v>
      </c>
      <c r="B71" s="8" t="s">
        <v>755</v>
      </c>
      <c r="C71" s="9" t="s">
        <v>11</v>
      </c>
      <c r="D71" s="26"/>
      <c r="E71" s="27"/>
      <c r="F71" s="6">
        <f>SUM(F72:F74)</f>
        <v>3148</v>
      </c>
    </row>
    <row r="72" spans="1:6" ht="12.75" customHeight="1">
      <c r="A72" s="7" t="s">
        <v>762</v>
      </c>
      <c r="B72" s="8" t="s">
        <v>765</v>
      </c>
      <c r="C72" s="9" t="s">
        <v>751</v>
      </c>
      <c r="D72" s="26">
        <v>4</v>
      </c>
      <c r="E72" s="27">
        <v>237000</v>
      </c>
      <c r="F72" s="6">
        <f>D72*E72/1000</f>
        <v>948</v>
      </c>
    </row>
    <row r="73" spans="1:6" ht="12.75" customHeight="1">
      <c r="A73" s="7" t="s">
        <v>763</v>
      </c>
      <c r="B73" s="8" t="s">
        <v>766</v>
      </c>
      <c r="C73" s="9" t="s">
        <v>751</v>
      </c>
      <c r="D73" s="26">
        <v>4</v>
      </c>
      <c r="E73" s="27">
        <v>150000</v>
      </c>
      <c r="F73" s="6">
        <f>D73*E73/1000</f>
        <v>600</v>
      </c>
    </row>
    <row r="74" spans="1:6" ht="12.75" customHeight="1">
      <c r="A74" s="7" t="s">
        <v>764</v>
      </c>
      <c r="B74" s="8" t="s">
        <v>767</v>
      </c>
      <c r="C74" s="9" t="s">
        <v>751</v>
      </c>
      <c r="D74" s="26">
        <v>4</v>
      </c>
      <c r="E74" s="27">
        <v>400000</v>
      </c>
      <c r="F74" s="6">
        <f>D74*E74/1000</f>
        <v>1600</v>
      </c>
    </row>
    <row r="75" spans="1:6" ht="12.75" customHeight="1">
      <c r="A75" s="7" t="s">
        <v>760</v>
      </c>
      <c r="B75" s="8" t="s">
        <v>768</v>
      </c>
      <c r="C75" s="9" t="s">
        <v>751</v>
      </c>
      <c r="D75" s="26">
        <v>4</v>
      </c>
      <c r="E75" s="27">
        <v>150000</v>
      </c>
      <c r="F75" s="6">
        <f>D75*E75/1000</f>
        <v>600</v>
      </c>
    </row>
    <row r="76" spans="1:6" ht="12.75" customHeight="1">
      <c r="A76" s="7" t="s">
        <v>772</v>
      </c>
      <c r="B76" s="8" t="s">
        <v>770</v>
      </c>
      <c r="C76" s="9" t="s">
        <v>751</v>
      </c>
      <c r="D76" s="26">
        <v>12</v>
      </c>
      <c r="E76" s="27">
        <v>1500000</v>
      </c>
      <c r="F76" s="6">
        <f>D76*E76/1000</f>
        <v>18000</v>
      </c>
    </row>
    <row r="77" spans="1:6" ht="12.75" customHeight="1">
      <c r="A77" s="7" t="s">
        <v>773</v>
      </c>
      <c r="B77" s="8" t="s">
        <v>769</v>
      </c>
      <c r="C77" s="9" t="s">
        <v>113</v>
      </c>
      <c r="D77" s="26">
        <v>1</v>
      </c>
      <c r="E77" s="27"/>
      <c r="F77" s="6">
        <v>13000</v>
      </c>
    </row>
    <row r="78" spans="1:6" ht="12.75" customHeight="1">
      <c r="A78" s="7" t="s">
        <v>774</v>
      </c>
      <c r="B78" s="8" t="s">
        <v>771</v>
      </c>
      <c r="C78" s="9" t="s">
        <v>775</v>
      </c>
      <c r="D78" s="26">
        <v>5</v>
      </c>
      <c r="E78" s="27">
        <v>270000</v>
      </c>
      <c r="F78" s="6">
        <f>D78*E78/1000</f>
        <v>1350</v>
      </c>
    </row>
    <row r="79" spans="1:6" ht="12.75" customHeight="1">
      <c r="A79" s="7" t="s">
        <v>69</v>
      </c>
      <c r="B79" s="8" t="s">
        <v>776</v>
      </c>
      <c r="C79" s="9" t="s">
        <v>777</v>
      </c>
      <c r="D79" s="26">
        <v>114</v>
      </c>
      <c r="E79" s="27">
        <v>80000</v>
      </c>
      <c r="F79" s="6">
        <f>D79*E79/1000</f>
        <v>9120</v>
      </c>
    </row>
    <row r="80" spans="1:6" ht="12.75" customHeight="1">
      <c r="A80" s="7" t="s">
        <v>779</v>
      </c>
      <c r="B80" s="8" t="s">
        <v>780</v>
      </c>
      <c r="C80" s="9" t="s">
        <v>777</v>
      </c>
      <c r="D80" s="26">
        <v>38</v>
      </c>
      <c r="E80" s="27">
        <v>150000</v>
      </c>
      <c r="F80" s="6">
        <f>D80*E80/1000</f>
        <v>5700</v>
      </c>
    </row>
    <row r="81" spans="1:6" ht="12.75" customHeight="1">
      <c r="A81" s="7" t="s">
        <v>70</v>
      </c>
      <c r="B81" s="8" t="s">
        <v>781</v>
      </c>
      <c r="C81" s="9" t="s">
        <v>751</v>
      </c>
      <c r="D81" s="26">
        <v>8</v>
      </c>
      <c r="E81" s="27">
        <v>1250000</v>
      </c>
      <c r="F81" s="6">
        <f>D81*E81/1000</f>
        <v>10000</v>
      </c>
    </row>
    <row r="82" spans="1:6" ht="12.75" customHeight="1">
      <c r="A82" s="7" t="s">
        <v>71</v>
      </c>
      <c r="B82" s="8" t="s">
        <v>328</v>
      </c>
      <c r="C82" s="9" t="s">
        <v>11</v>
      </c>
      <c r="D82" s="26"/>
      <c r="E82" s="27"/>
      <c r="F82" s="6">
        <f>SUM(F83:F91)</f>
        <v>7603</v>
      </c>
    </row>
    <row r="83" spans="1:6" ht="12.75" customHeight="1">
      <c r="A83" s="7" t="s">
        <v>782</v>
      </c>
      <c r="B83" s="8" t="s">
        <v>783</v>
      </c>
      <c r="C83" s="9" t="s">
        <v>751</v>
      </c>
      <c r="D83" s="26">
        <v>10</v>
      </c>
      <c r="E83" s="27">
        <v>125000</v>
      </c>
      <c r="F83" s="6">
        <f aca="true" t="shared" si="1" ref="F83:F91">D83*E83/1000</f>
        <v>1250</v>
      </c>
    </row>
    <row r="84" spans="1:6" ht="12.75" customHeight="1">
      <c r="A84" s="7" t="s">
        <v>784</v>
      </c>
      <c r="B84" s="8" t="s">
        <v>792</v>
      </c>
      <c r="C84" s="9" t="s">
        <v>113</v>
      </c>
      <c r="D84" s="26">
        <v>4</v>
      </c>
      <c r="E84" s="27">
        <v>111500</v>
      </c>
      <c r="F84" s="6">
        <f t="shared" si="1"/>
        <v>446</v>
      </c>
    </row>
    <row r="85" spans="1:6" ht="12.75" customHeight="1">
      <c r="A85" s="7" t="s">
        <v>785</v>
      </c>
      <c r="B85" s="8" t="s">
        <v>786</v>
      </c>
      <c r="C85" s="9" t="s">
        <v>751</v>
      </c>
      <c r="D85" s="26">
        <v>10</v>
      </c>
      <c r="E85" s="27">
        <v>75000</v>
      </c>
      <c r="F85" s="6">
        <f t="shared" si="1"/>
        <v>750</v>
      </c>
    </row>
    <row r="86" spans="1:6" ht="12.75" customHeight="1">
      <c r="A86" s="7" t="s">
        <v>793</v>
      </c>
      <c r="B86" s="8" t="s">
        <v>791</v>
      </c>
      <c r="C86" s="9" t="s">
        <v>113</v>
      </c>
      <c r="D86" s="26">
        <v>3</v>
      </c>
      <c r="E86" s="27">
        <v>186000</v>
      </c>
      <c r="F86" s="6">
        <f t="shared" si="1"/>
        <v>558</v>
      </c>
    </row>
    <row r="87" spans="1:6" ht="12.75" customHeight="1">
      <c r="A87" s="7" t="s">
        <v>794</v>
      </c>
      <c r="B87" s="8" t="s">
        <v>787</v>
      </c>
      <c r="C87" s="9" t="s">
        <v>751</v>
      </c>
      <c r="D87" s="26">
        <v>6</v>
      </c>
      <c r="E87" s="27">
        <v>370000</v>
      </c>
      <c r="F87" s="6">
        <f t="shared" si="1"/>
        <v>2220</v>
      </c>
    </row>
    <row r="88" spans="1:6" ht="12.75" customHeight="1">
      <c r="A88" s="7" t="s">
        <v>795</v>
      </c>
      <c r="B88" s="8" t="s">
        <v>788</v>
      </c>
      <c r="C88" s="9" t="s">
        <v>751</v>
      </c>
      <c r="D88" s="26">
        <v>7</v>
      </c>
      <c r="E88" s="27">
        <v>25000</v>
      </c>
      <c r="F88" s="6">
        <f t="shared" si="1"/>
        <v>175</v>
      </c>
    </row>
    <row r="89" spans="1:6" ht="12.75" customHeight="1">
      <c r="A89" s="7" t="s">
        <v>796</v>
      </c>
      <c r="B89" s="8" t="s">
        <v>789</v>
      </c>
      <c r="C89" s="9" t="s">
        <v>751</v>
      </c>
      <c r="D89" s="26">
        <v>4</v>
      </c>
      <c r="E89" s="27">
        <v>50000</v>
      </c>
      <c r="F89" s="6">
        <f t="shared" si="1"/>
        <v>200</v>
      </c>
    </row>
    <row r="90" spans="1:6" ht="12.75" customHeight="1">
      <c r="A90" s="7" t="s">
        <v>797</v>
      </c>
      <c r="B90" s="8" t="s">
        <v>790</v>
      </c>
      <c r="C90" s="9" t="s">
        <v>777</v>
      </c>
      <c r="D90" s="26">
        <v>192</v>
      </c>
      <c r="E90" s="27">
        <v>7000</v>
      </c>
      <c r="F90" s="6">
        <f t="shared" si="1"/>
        <v>1344</v>
      </c>
    </row>
    <row r="91" spans="1:6" ht="12.75" customHeight="1">
      <c r="A91" s="7" t="s">
        <v>798</v>
      </c>
      <c r="B91" s="8" t="s">
        <v>792</v>
      </c>
      <c r="C91" s="9" t="s">
        <v>113</v>
      </c>
      <c r="D91" s="26">
        <v>4</v>
      </c>
      <c r="E91" s="27">
        <v>165000</v>
      </c>
      <c r="F91" s="6">
        <f t="shared" si="1"/>
        <v>660</v>
      </c>
    </row>
    <row r="92" spans="1:6" ht="12.75" customHeight="1">
      <c r="A92" s="7" t="s">
        <v>72</v>
      </c>
      <c r="B92" s="8" t="s">
        <v>73</v>
      </c>
      <c r="C92" s="9" t="s">
        <v>11</v>
      </c>
      <c r="D92" s="26"/>
      <c r="E92" s="27"/>
      <c r="F92" s="6">
        <f>SUM(F93:F98)+F102+F105+F109+F120</f>
        <v>93810</v>
      </c>
    </row>
    <row r="93" spans="1:6" ht="12.75" customHeight="1">
      <c r="A93" s="7" t="s">
        <v>74</v>
      </c>
      <c r="B93" s="8" t="s">
        <v>346</v>
      </c>
      <c r="C93" s="9" t="s">
        <v>751</v>
      </c>
      <c r="D93" s="26">
        <v>5</v>
      </c>
      <c r="E93" s="27">
        <v>500000</v>
      </c>
      <c r="F93" s="6">
        <f>D93*E93/1000</f>
        <v>2500</v>
      </c>
    </row>
    <row r="94" spans="1:6" ht="12.75" customHeight="1">
      <c r="A94" s="7" t="s">
        <v>75</v>
      </c>
      <c r="B94" s="8" t="s">
        <v>799</v>
      </c>
      <c r="C94" s="9" t="s">
        <v>751</v>
      </c>
      <c r="D94" s="26">
        <v>12</v>
      </c>
      <c r="E94" s="27">
        <v>1100000</v>
      </c>
      <c r="F94" s="6">
        <f>D94*E94/1000</f>
        <v>13200</v>
      </c>
    </row>
    <row r="95" spans="1:6" ht="12.75" customHeight="1">
      <c r="A95" s="7" t="s">
        <v>800</v>
      </c>
      <c r="B95" s="8" t="s">
        <v>801</v>
      </c>
      <c r="C95" s="9" t="s">
        <v>751</v>
      </c>
      <c r="D95" s="26">
        <v>5</v>
      </c>
      <c r="E95" s="27">
        <v>780000</v>
      </c>
      <c r="F95" s="6">
        <f>D95*E95/1000</f>
        <v>3900</v>
      </c>
    </row>
    <row r="96" spans="1:6" ht="12.75" customHeight="1">
      <c r="A96" s="7" t="s">
        <v>76</v>
      </c>
      <c r="B96" s="8" t="s">
        <v>347</v>
      </c>
      <c r="C96" s="9" t="s">
        <v>11</v>
      </c>
      <c r="D96" s="26"/>
      <c r="E96" s="27"/>
      <c r="F96" s="6"/>
    </row>
    <row r="97" spans="1:6" ht="12.75" customHeight="1">
      <c r="A97" s="7" t="s">
        <v>77</v>
      </c>
      <c r="B97" s="8" t="s">
        <v>348</v>
      </c>
      <c r="C97" s="9" t="s">
        <v>751</v>
      </c>
      <c r="D97" s="26">
        <v>5</v>
      </c>
      <c r="E97" s="27">
        <v>780000</v>
      </c>
      <c r="F97" s="6">
        <f>D97*E97/1000</f>
        <v>3900</v>
      </c>
    </row>
    <row r="98" spans="1:6" ht="12.75" customHeight="1">
      <c r="A98" s="7" t="s">
        <v>78</v>
      </c>
      <c r="B98" s="8" t="s">
        <v>802</v>
      </c>
      <c r="C98" s="9" t="s">
        <v>11</v>
      </c>
      <c r="D98" s="26"/>
      <c r="E98" s="27"/>
      <c r="F98" s="6">
        <f>SUM(F99:F101)</f>
        <v>23000</v>
      </c>
    </row>
    <row r="99" spans="1:6" ht="12.75" customHeight="1">
      <c r="A99" s="7" t="s">
        <v>808</v>
      </c>
      <c r="B99" s="8" t="s">
        <v>803</v>
      </c>
      <c r="C99" s="9" t="s">
        <v>804</v>
      </c>
      <c r="D99" s="26">
        <v>750</v>
      </c>
      <c r="E99" s="27">
        <v>14000</v>
      </c>
      <c r="F99" s="6">
        <f>D99*E99/1000</f>
        <v>10500</v>
      </c>
    </row>
    <row r="100" spans="1:6" ht="12.75" customHeight="1">
      <c r="A100" s="7" t="s">
        <v>809</v>
      </c>
      <c r="B100" s="8" t="s">
        <v>958</v>
      </c>
      <c r="C100" s="9" t="s">
        <v>804</v>
      </c>
      <c r="D100" s="26">
        <v>750</v>
      </c>
      <c r="E100" s="27">
        <v>10000</v>
      </c>
      <c r="F100" s="6">
        <f>D100*E100/1000</f>
        <v>7500</v>
      </c>
    </row>
    <row r="101" spans="1:6" ht="12.75" customHeight="1">
      <c r="A101" s="7" t="s">
        <v>810</v>
      </c>
      <c r="B101" s="8" t="s">
        <v>805</v>
      </c>
      <c r="C101" s="9" t="s">
        <v>806</v>
      </c>
      <c r="D101" s="26"/>
      <c r="E101" s="27"/>
      <c r="F101" s="6">
        <v>5000</v>
      </c>
    </row>
    <row r="102" spans="1:6" ht="12.75" customHeight="1">
      <c r="A102" s="7" t="s">
        <v>807</v>
      </c>
      <c r="B102" s="8" t="s">
        <v>812</v>
      </c>
      <c r="C102" s="9" t="s">
        <v>11</v>
      </c>
      <c r="D102" s="26"/>
      <c r="E102" s="27"/>
      <c r="F102" s="6">
        <f>SUM(F103:F104)</f>
        <v>1710</v>
      </c>
    </row>
    <row r="103" spans="1:6" ht="12.75" customHeight="1">
      <c r="A103" s="7" t="s">
        <v>811</v>
      </c>
      <c r="B103" s="8" t="s">
        <v>813</v>
      </c>
      <c r="C103" s="9" t="s">
        <v>751</v>
      </c>
      <c r="D103" s="26">
        <v>10</v>
      </c>
      <c r="E103" s="27">
        <v>96000</v>
      </c>
      <c r="F103" s="6">
        <f>D103*E103/1000</f>
        <v>960</v>
      </c>
    </row>
    <row r="104" spans="1:6" ht="12.75" customHeight="1">
      <c r="A104" s="7" t="s">
        <v>814</v>
      </c>
      <c r="B104" s="8" t="s">
        <v>815</v>
      </c>
      <c r="C104" s="9" t="s">
        <v>751</v>
      </c>
      <c r="D104" s="26">
        <v>5</v>
      </c>
      <c r="E104" s="27">
        <v>150000</v>
      </c>
      <c r="F104" s="6">
        <f>D104*E104/1000</f>
        <v>750</v>
      </c>
    </row>
    <row r="105" spans="1:6" ht="12.75" customHeight="1">
      <c r="A105" s="7" t="s">
        <v>816</v>
      </c>
      <c r="B105" s="8" t="s">
        <v>817</v>
      </c>
      <c r="C105" s="9" t="s">
        <v>11</v>
      </c>
      <c r="D105" s="26"/>
      <c r="E105" s="27"/>
      <c r="F105" s="6">
        <f>SUM(F106:F108)</f>
        <v>5100</v>
      </c>
    </row>
    <row r="106" spans="1:6" ht="12.75" customHeight="1">
      <c r="A106" s="7" t="s">
        <v>823</v>
      </c>
      <c r="B106" s="8" t="s">
        <v>818</v>
      </c>
      <c r="C106" s="9" t="s">
        <v>821</v>
      </c>
      <c r="D106" s="26">
        <v>100</v>
      </c>
      <c r="E106" s="27">
        <v>40000</v>
      </c>
      <c r="F106" s="6">
        <f>D106*E106/1000</f>
        <v>4000</v>
      </c>
    </row>
    <row r="107" spans="1:6" ht="12.75" customHeight="1">
      <c r="A107" s="7" t="s">
        <v>824</v>
      </c>
      <c r="B107" s="8" t="s">
        <v>819</v>
      </c>
      <c r="C107" s="9" t="s">
        <v>113</v>
      </c>
      <c r="D107" s="26">
        <v>20</v>
      </c>
      <c r="E107" s="27">
        <v>30000</v>
      </c>
      <c r="F107" s="6">
        <f>D107*E107/1000</f>
        <v>600</v>
      </c>
    </row>
    <row r="108" spans="1:6" ht="12.75" customHeight="1">
      <c r="A108" s="7" t="s">
        <v>825</v>
      </c>
      <c r="B108" s="8" t="s">
        <v>820</v>
      </c>
      <c r="C108" s="9" t="s">
        <v>113</v>
      </c>
      <c r="D108" s="26">
        <v>5</v>
      </c>
      <c r="E108" s="27">
        <v>100000</v>
      </c>
      <c r="F108" s="6">
        <f>D108*E108/1000</f>
        <v>500</v>
      </c>
    </row>
    <row r="109" spans="1:6" ht="12.75" customHeight="1">
      <c r="A109" s="7" t="s">
        <v>822</v>
      </c>
      <c r="B109" s="8" t="s">
        <v>826</v>
      </c>
      <c r="C109" s="9" t="s">
        <v>11</v>
      </c>
      <c r="D109" s="26"/>
      <c r="E109" s="27"/>
      <c r="F109" s="6">
        <f>SUM(F110:F119)</f>
        <v>40000</v>
      </c>
    </row>
    <row r="110" spans="1:6" ht="12.75" customHeight="1">
      <c r="A110" s="7" t="s">
        <v>838</v>
      </c>
      <c r="B110" s="8" t="s">
        <v>827</v>
      </c>
      <c r="C110" s="9" t="s">
        <v>806</v>
      </c>
      <c r="D110" s="26"/>
      <c r="E110" s="27"/>
      <c r="F110" s="6">
        <v>7000</v>
      </c>
    </row>
    <row r="111" spans="1:6" ht="12.75" customHeight="1">
      <c r="A111" s="7" t="s">
        <v>839</v>
      </c>
      <c r="B111" s="8" t="s">
        <v>828</v>
      </c>
      <c r="C111" s="9" t="s">
        <v>806</v>
      </c>
      <c r="D111" s="26"/>
      <c r="E111" s="27"/>
      <c r="F111" s="6">
        <v>5000</v>
      </c>
    </row>
    <row r="112" spans="1:6" ht="12.75" customHeight="1">
      <c r="A112" s="7" t="s">
        <v>840</v>
      </c>
      <c r="B112" s="8" t="s">
        <v>829</v>
      </c>
      <c r="C112" s="9" t="s">
        <v>806</v>
      </c>
      <c r="D112" s="26"/>
      <c r="E112" s="27"/>
      <c r="F112" s="6">
        <v>5000</v>
      </c>
    </row>
    <row r="113" spans="1:6" ht="12.75" customHeight="1">
      <c r="A113" s="7" t="s">
        <v>841</v>
      </c>
      <c r="B113" s="8" t="s">
        <v>830</v>
      </c>
      <c r="C113" s="9" t="s">
        <v>806</v>
      </c>
      <c r="D113" s="26"/>
      <c r="E113" s="27"/>
      <c r="F113" s="6">
        <v>4000</v>
      </c>
    </row>
    <row r="114" spans="1:6" ht="12.75" customHeight="1">
      <c r="A114" s="7" t="s">
        <v>842</v>
      </c>
      <c r="B114" s="8" t="s">
        <v>831</v>
      </c>
      <c r="C114" s="9" t="s">
        <v>806</v>
      </c>
      <c r="D114" s="26"/>
      <c r="E114" s="27"/>
      <c r="F114" s="6">
        <v>4000</v>
      </c>
    </row>
    <row r="115" spans="1:6" ht="12.75" customHeight="1">
      <c r="A115" s="7" t="s">
        <v>843</v>
      </c>
      <c r="B115" s="8" t="s">
        <v>832</v>
      </c>
      <c r="C115" s="9" t="s">
        <v>806</v>
      </c>
      <c r="D115" s="26"/>
      <c r="E115" s="27"/>
      <c r="F115" s="6">
        <v>4000</v>
      </c>
    </row>
    <row r="116" spans="1:6" ht="12.75" customHeight="1">
      <c r="A116" s="7" t="s">
        <v>844</v>
      </c>
      <c r="B116" s="8" t="s">
        <v>833</v>
      </c>
      <c r="C116" s="9" t="s">
        <v>806</v>
      </c>
      <c r="D116" s="26"/>
      <c r="E116" s="27"/>
      <c r="F116" s="6">
        <v>3000</v>
      </c>
    </row>
    <row r="117" spans="1:6" ht="12.75" customHeight="1">
      <c r="A117" s="7" t="s">
        <v>845</v>
      </c>
      <c r="B117" s="8" t="s">
        <v>834</v>
      </c>
      <c r="C117" s="9" t="s">
        <v>806</v>
      </c>
      <c r="D117" s="26"/>
      <c r="E117" s="27"/>
      <c r="F117" s="6">
        <v>3000</v>
      </c>
    </row>
    <row r="118" spans="1:6" ht="12.75" customHeight="1">
      <c r="A118" s="7" t="s">
        <v>846</v>
      </c>
      <c r="B118" s="8" t="s">
        <v>835</v>
      </c>
      <c r="C118" s="9" t="s">
        <v>806</v>
      </c>
      <c r="D118" s="26"/>
      <c r="E118" s="27"/>
      <c r="F118" s="6">
        <v>2000</v>
      </c>
    </row>
    <row r="119" spans="1:6" ht="12.75" customHeight="1">
      <c r="A119" s="7" t="s">
        <v>847</v>
      </c>
      <c r="B119" s="8" t="s">
        <v>836</v>
      </c>
      <c r="C119" s="9" t="s">
        <v>806</v>
      </c>
      <c r="D119" s="26"/>
      <c r="E119" s="27"/>
      <c r="F119" s="6">
        <v>3000</v>
      </c>
    </row>
    <row r="120" spans="1:6" ht="12.75" customHeight="1">
      <c r="A120" s="7" t="s">
        <v>79</v>
      </c>
      <c r="B120" s="8" t="s">
        <v>837</v>
      </c>
      <c r="C120" s="9" t="s">
        <v>11</v>
      </c>
      <c r="D120" s="26"/>
      <c r="E120" s="27"/>
      <c r="F120" s="6">
        <v>500</v>
      </c>
    </row>
    <row r="121" spans="1:6" ht="12.75" customHeight="1">
      <c r="A121" s="7" t="s">
        <v>80</v>
      </c>
      <c r="B121" s="8" t="s">
        <v>81</v>
      </c>
      <c r="C121" s="9" t="s">
        <v>11</v>
      </c>
      <c r="D121" s="26"/>
      <c r="E121" s="27"/>
      <c r="F121" s="6">
        <f>SUM(F122:F125)</f>
        <v>25350</v>
      </c>
    </row>
    <row r="122" spans="1:6" ht="12.75" customHeight="1">
      <c r="A122" s="7" t="s">
        <v>349</v>
      </c>
      <c r="B122" s="8" t="s">
        <v>350</v>
      </c>
      <c r="C122" s="9" t="s">
        <v>11</v>
      </c>
      <c r="D122" s="26"/>
      <c r="E122" s="27"/>
      <c r="F122" s="6">
        <v>2000</v>
      </c>
    </row>
    <row r="123" spans="1:6" ht="12.75" customHeight="1">
      <c r="A123" s="7" t="s">
        <v>351</v>
      </c>
      <c r="B123" s="8" t="s">
        <v>352</v>
      </c>
      <c r="C123" s="9" t="s">
        <v>751</v>
      </c>
      <c r="D123" s="26">
        <v>10</v>
      </c>
      <c r="E123" s="27">
        <v>2100000</v>
      </c>
      <c r="F123" s="6">
        <f>D123*E123/1000</f>
        <v>21000</v>
      </c>
    </row>
    <row r="124" spans="1:6" ht="12.75" customHeight="1">
      <c r="A124" s="7" t="s">
        <v>82</v>
      </c>
      <c r="B124" s="8" t="s">
        <v>83</v>
      </c>
      <c r="C124" s="9" t="s">
        <v>11</v>
      </c>
      <c r="D124" s="26"/>
      <c r="E124" s="27"/>
      <c r="F124" s="6">
        <v>1200</v>
      </c>
    </row>
    <row r="125" spans="1:6" ht="12.75" customHeight="1">
      <c r="A125" s="7" t="s">
        <v>84</v>
      </c>
      <c r="B125" s="8" t="s">
        <v>328</v>
      </c>
      <c r="C125" s="9" t="s">
        <v>11</v>
      </c>
      <c r="D125" s="26"/>
      <c r="E125" s="27"/>
      <c r="F125" s="6">
        <v>1150</v>
      </c>
    </row>
    <row r="126" spans="1:6" ht="12.75" customHeight="1">
      <c r="A126" s="7" t="s">
        <v>85</v>
      </c>
      <c r="B126" s="8" t="s">
        <v>39</v>
      </c>
      <c r="C126" s="9" t="s">
        <v>11</v>
      </c>
      <c r="D126" s="26"/>
      <c r="E126" s="27"/>
      <c r="F126" s="6"/>
    </row>
    <row r="127" spans="1:6" ht="12.75" customHeight="1">
      <c r="A127" s="7" t="s">
        <v>86</v>
      </c>
      <c r="B127" s="8" t="s">
        <v>439</v>
      </c>
      <c r="C127" s="5" t="s">
        <v>11</v>
      </c>
      <c r="D127" s="27"/>
      <c r="E127" s="27"/>
      <c r="F127" s="6">
        <v>22219</v>
      </c>
    </row>
    <row r="128" spans="1:6" ht="12.75" customHeight="1">
      <c r="A128" s="3"/>
      <c r="B128" s="4"/>
      <c r="C128" s="5"/>
      <c r="D128" s="27"/>
      <c r="E128" s="27"/>
      <c r="F128" s="6"/>
    </row>
    <row r="129" spans="1:6" ht="12.75" customHeight="1">
      <c r="A129" s="7" t="s">
        <v>88</v>
      </c>
      <c r="B129" s="8" t="s">
        <v>89</v>
      </c>
      <c r="C129" s="5" t="s">
        <v>11</v>
      </c>
      <c r="D129" s="27"/>
      <c r="E129" s="27"/>
      <c r="F129" s="6">
        <f>SUM(F130:F131,F162:F163)</f>
        <v>1109310.9481584325</v>
      </c>
    </row>
    <row r="130" spans="1:6" ht="12.75" customHeight="1">
      <c r="A130" s="7" t="s">
        <v>90</v>
      </c>
      <c r="B130" s="8" t="s">
        <v>91</v>
      </c>
      <c r="C130" s="5" t="s">
        <v>11</v>
      </c>
      <c r="D130" s="5"/>
      <c r="E130" s="5"/>
      <c r="F130" s="6"/>
    </row>
    <row r="131" spans="1:6" ht="12.75" customHeight="1">
      <c r="A131" s="7" t="s">
        <v>92</v>
      </c>
      <c r="B131" s="8" t="s">
        <v>416</v>
      </c>
      <c r="C131" s="5" t="s">
        <v>11</v>
      </c>
      <c r="D131" s="5"/>
      <c r="E131" s="5"/>
      <c r="F131" s="6">
        <f>SUM(F132,F136,F140,F145,F150,F155,F160,F161,)</f>
        <v>1051588.4528865025</v>
      </c>
    </row>
    <row r="132" spans="1:6" ht="12.75" customHeight="1">
      <c r="A132" s="7" t="s">
        <v>93</v>
      </c>
      <c r="B132" s="8" t="s">
        <v>94</v>
      </c>
      <c r="C132" s="9" t="s">
        <v>11</v>
      </c>
      <c r="D132" s="26"/>
      <c r="E132" s="27"/>
      <c r="F132" s="6">
        <f>SUM(F133:F135)</f>
        <v>64723.563075000005</v>
      </c>
    </row>
    <row r="133" spans="1:6" ht="12.75" customHeight="1">
      <c r="A133" s="7" t="s">
        <v>95</v>
      </c>
      <c r="B133" s="8" t="s">
        <v>96</v>
      </c>
      <c r="C133" s="9" t="s">
        <v>97</v>
      </c>
      <c r="D133" s="26">
        <v>240390</v>
      </c>
      <c r="E133" s="55">
        <v>9.24</v>
      </c>
      <c r="F133" s="6">
        <f>(D133*E133)/1000</f>
        <v>2221.2036000000003</v>
      </c>
    </row>
    <row r="134" spans="1:6" ht="12.75" customHeight="1">
      <c r="A134" s="7" t="s">
        <v>98</v>
      </c>
      <c r="B134" s="8" t="s">
        <v>326</v>
      </c>
      <c r="C134" s="9" t="s">
        <v>97</v>
      </c>
      <c r="D134" s="26">
        <f>2722430-D135</f>
        <v>2415402.5</v>
      </c>
      <c r="E134" s="55">
        <v>21.87</v>
      </c>
      <c r="F134" s="6">
        <f>(D134*E134)/1000</f>
        <v>52824.852675</v>
      </c>
    </row>
    <row r="135" spans="1:6" ht="12.75" customHeight="1">
      <c r="A135" s="7" t="s">
        <v>514</v>
      </c>
      <c r="B135" s="8" t="s">
        <v>515</v>
      </c>
      <c r="C135" s="9" t="s">
        <v>97</v>
      </c>
      <c r="D135" s="26">
        <v>307027.5</v>
      </c>
      <c r="E135" s="55">
        <v>31.52</v>
      </c>
      <c r="F135" s="6">
        <f>(D135*E135)/1000</f>
        <v>9677.506800000001</v>
      </c>
    </row>
    <row r="136" spans="1:6" ht="12.75" customHeight="1">
      <c r="A136" s="7" t="s">
        <v>99</v>
      </c>
      <c r="B136" s="8" t="s">
        <v>100</v>
      </c>
      <c r="C136" s="9" t="s">
        <v>11</v>
      </c>
      <c r="D136" s="26"/>
      <c r="E136" s="55"/>
      <c r="F136" s="6">
        <f>F137+F139+F138</f>
        <v>11530.1315646</v>
      </c>
    </row>
    <row r="137" spans="1:6" ht="12.75" customHeight="1">
      <c r="A137" s="7" t="s">
        <v>517</v>
      </c>
      <c r="B137" s="8" t="s">
        <v>973</v>
      </c>
      <c r="C137" s="9" t="s">
        <v>123</v>
      </c>
      <c r="D137" s="26">
        <v>57665</v>
      </c>
      <c r="E137" s="55">
        <v>46.71</v>
      </c>
      <c r="F137" s="6">
        <f>(D137*E137)/1000</f>
        <v>2693.53215</v>
      </c>
    </row>
    <row r="138" spans="1:6" ht="12.75" customHeight="1">
      <c r="A138" s="7" t="s">
        <v>518</v>
      </c>
      <c r="B138" s="8" t="s">
        <v>928</v>
      </c>
      <c r="C138" s="9" t="s">
        <v>102</v>
      </c>
      <c r="D138" s="26">
        <v>5919.98</v>
      </c>
      <c r="E138" s="55">
        <v>791.71</v>
      </c>
      <c r="F138" s="6">
        <f>(D138*E138)/1000</f>
        <v>4686.9073658</v>
      </c>
    </row>
    <row r="139" spans="1:6" ht="12.75" customHeight="1">
      <c r="A139" s="7" t="s">
        <v>929</v>
      </c>
      <c r="B139" s="8" t="s">
        <v>972</v>
      </c>
      <c r="C139" s="9" t="s">
        <v>97</v>
      </c>
      <c r="D139" s="26">
        <v>21925.88</v>
      </c>
      <c r="E139" s="55">
        <v>189.26</v>
      </c>
      <c r="F139" s="6">
        <f>(D139*E139)/1000</f>
        <v>4149.6920488</v>
      </c>
    </row>
    <row r="140" spans="1:6" ht="12.75" customHeight="1">
      <c r="A140" s="7" t="s">
        <v>412</v>
      </c>
      <c r="B140" s="8" t="s">
        <v>470</v>
      </c>
      <c r="C140" s="9" t="s">
        <v>11</v>
      </c>
      <c r="D140" s="26"/>
      <c r="E140" s="55"/>
      <c r="F140" s="6">
        <f>F141</f>
        <v>810625.483932</v>
      </c>
    </row>
    <row r="141" spans="1:6" ht="12.75" customHeight="1">
      <c r="A141" s="7" t="s">
        <v>408</v>
      </c>
      <c r="B141" s="8" t="s">
        <v>413</v>
      </c>
      <c r="C141" s="9" t="s">
        <v>11</v>
      </c>
      <c r="D141" s="26"/>
      <c r="E141" s="27"/>
      <c r="F141" s="6">
        <f>SUM(F142:F144)</f>
        <v>810625.483932</v>
      </c>
    </row>
    <row r="142" spans="1:6" ht="12.75" customHeight="1">
      <c r="A142" s="7" t="s">
        <v>409</v>
      </c>
      <c r="B142" s="8" t="s">
        <v>930</v>
      </c>
      <c r="C142" s="9" t="s">
        <v>102</v>
      </c>
      <c r="D142" s="26">
        <f>0.27*D143</f>
        <v>231541.2</v>
      </c>
      <c r="E142" s="55">
        <v>791.71</v>
      </c>
      <c r="F142" s="6">
        <f>(D142*E142)/1000</f>
        <v>183313.48345200001</v>
      </c>
    </row>
    <row r="143" spans="1:6" ht="12.75" customHeight="1">
      <c r="A143" s="7" t="s">
        <v>410</v>
      </c>
      <c r="B143" s="8" t="s">
        <v>414</v>
      </c>
      <c r="C143" s="9" t="s">
        <v>97</v>
      </c>
      <c r="D143" s="26">
        <v>857560</v>
      </c>
      <c r="E143" s="55">
        <v>258.27</v>
      </c>
      <c r="F143" s="6">
        <f>(D143*E143)/1000</f>
        <v>221482.0212</v>
      </c>
    </row>
    <row r="144" spans="1:6" ht="12.75" customHeight="1">
      <c r="A144" s="7" t="s">
        <v>411</v>
      </c>
      <c r="B144" s="8" t="s">
        <v>415</v>
      </c>
      <c r="C144" s="9" t="s">
        <v>102</v>
      </c>
      <c r="D144" s="26">
        <f>0.06*D143</f>
        <v>51453.6</v>
      </c>
      <c r="E144" s="55">
        <v>7887.3</v>
      </c>
      <c r="F144" s="6">
        <f>(D144*E144)/1000</f>
        <v>405829.97927999997</v>
      </c>
    </row>
    <row r="145" spans="1:6" ht="12.75" customHeight="1">
      <c r="A145" s="7" t="s">
        <v>471</v>
      </c>
      <c r="B145" s="8" t="s">
        <v>483</v>
      </c>
      <c r="C145" s="9" t="s">
        <v>11</v>
      </c>
      <c r="D145" s="26"/>
      <c r="E145" s="55"/>
      <c r="F145" s="6">
        <f>F146</f>
        <v>71840.49720000001</v>
      </c>
    </row>
    <row r="146" spans="1:6" ht="12.75" customHeight="1">
      <c r="A146" s="7" t="s">
        <v>472</v>
      </c>
      <c r="B146" s="8" t="s">
        <v>413</v>
      </c>
      <c r="C146" s="9" t="s">
        <v>11</v>
      </c>
      <c r="D146" s="26"/>
      <c r="E146" s="27"/>
      <c r="F146" s="6">
        <f>SUM(F147:F149)</f>
        <v>71840.49720000001</v>
      </c>
    </row>
    <row r="147" spans="1:6" ht="12.75" customHeight="1">
      <c r="A147" s="7" t="s">
        <v>473</v>
      </c>
      <c r="B147" s="8" t="s">
        <v>930</v>
      </c>
      <c r="C147" s="9" t="s">
        <v>102</v>
      </c>
      <c r="D147" s="26">
        <f>0.27*D148</f>
        <v>20520</v>
      </c>
      <c r="E147" s="55">
        <v>791.71</v>
      </c>
      <c r="F147" s="6">
        <f>(D147*E147)/1000</f>
        <v>16245.889200000001</v>
      </c>
    </row>
    <row r="148" spans="1:6" ht="12.75" customHeight="1">
      <c r="A148" s="7" t="s">
        <v>474</v>
      </c>
      <c r="B148" s="8" t="s">
        <v>414</v>
      </c>
      <c r="C148" s="9" t="s">
        <v>97</v>
      </c>
      <c r="D148" s="26">
        <v>76000</v>
      </c>
      <c r="E148" s="55">
        <v>258.27</v>
      </c>
      <c r="F148" s="6">
        <f>(D148*E148)/1000</f>
        <v>19628.52</v>
      </c>
    </row>
    <row r="149" spans="1:6" ht="12.75" customHeight="1">
      <c r="A149" s="7" t="s">
        <v>475</v>
      </c>
      <c r="B149" s="8" t="s">
        <v>415</v>
      </c>
      <c r="C149" s="9" t="s">
        <v>102</v>
      </c>
      <c r="D149" s="26">
        <f>0.06*D148</f>
        <v>4560</v>
      </c>
      <c r="E149" s="55">
        <v>7887.3</v>
      </c>
      <c r="F149" s="6">
        <f>(D149*E149)/1000</f>
        <v>35966.088</v>
      </c>
    </row>
    <row r="150" spans="1:6" ht="12.75" customHeight="1">
      <c r="A150" s="7" t="s">
        <v>478</v>
      </c>
      <c r="B150" s="8" t="s">
        <v>655</v>
      </c>
      <c r="C150" s="95" t="s">
        <v>11</v>
      </c>
      <c r="D150" s="26"/>
      <c r="E150" s="55"/>
      <c r="F150" s="6">
        <f>F151</f>
        <v>35920.248600000006</v>
      </c>
    </row>
    <row r="151" spans="1:6" ht="12.75" customHeight="1">
      <c r="A151" s="7" t="s">
        <v>479</v>
      </c>
      <c r="B151" s="8" t="s">
        <v>413</v>
      </c>
      <c r="C151" s="95" t="s">
        <v>11</v>
      </c>
      <c r="D151" s="26"/>
      <c r="E151" s="27"/>
      <c r="F151" s="6">
        <f>SUM(F152:F154)</f>
        <v>35920.248600000006</v>
      </c>
    </row>
    <row r="152" spans="1:6" ht="12.75" customHeight="1">
      <c r="A152" s="7" t="s">
        <v>480</v>
      </c>
      <c r="B152" s="8" t="s">
        <v>930</v>
      </c>
      <c r="C152" s="95" t="s">
        <v>102</v>
      </c>
      <c r="D152" s="26">
        <f>0.27*D153</f>
        <v>10260</v>
      </c>
      <c r="E152" s="55">
        <v>791.71</v>
      </c>
      <c r="F152" s="6">
        <f>(D152*E152)/1000</f>
        <v>8122.944600000001</v>
      </c>
    </row>
    <row r="153" spans="1:6" ht="12.75" customHeight="1">
      <c r="A153" s="7" t="s">
        <v>481</v>
      </c>
      <c r="B153" s="8" t="s">
        <v>414</v>
      </c>
      <c r="C153" s="9" t="s">
        <v>97</v>
      </c>
      <c r="D153" s="26">
        <v>38000</v>
      </c>
      <c r="E153" s="55">
        <v>258.27</v>
      </c>
      <c r="F153" s="6">
        <f>(D153*E153)/1000</f>
        <v>9814.26</v>
      </c>
    </row>
    <row r="154" spans="1:6" ht="12.75" customHeight="1">
      <c r="A154" s="7" t="s">
        <v>482</v>
      </c>
      <c r="B154" s="8" t="s">
        <v>415</v>
      </c>
      <c r="C154" s="9" t="s">
        <v>102</v>
      </c>
      <c r="D154" s="26">
        <f>0.06*D153</f>
        <v>2280</v>
      </c>
      <c r="E154" s="55">
        <v>7887.3</v>
      </c>
      <c r="F154" s="6">
        <f>(D154*E154)/1000</f>
        <v>17983.044</v>
      </c>
    </row>
    <row r="155" spans="1:6" ht="12.75" customHeight="1">
      <c r="A155" s="7" t="s">
        <v>485</v>
      </c>
      <c r="B155" s="8" t="s">
        <v>484</v>
      </c>
      <c r="C155" s="95" t="s">
        <v>11</v>
      </c>
      <c r="D155" s="26"/>
      <c r="E155" s="55"/>
      <c r="F155" s="6">
        <f>F156</f>
        <v>9424.338908999998</v>
      </c>
    </row>
    <row r="156" spans="1:6" ht="12.75" customHeight="1">
      <c r="A156" s="7" t="s">
        <v>486</v>
      </c>
      <c r="B156" s="8" t="s">
        <v>413</v>
      </c>
      <c r="C156" s="95" t="s">
        <v>11</v>
      </c>
      <c r="D156" s="26"/>
      <c r="E156" s="27"/>
      <c r="F156" s="6">
        <f>SUM(F157:F159)</f>
        <v>9424.338908999998</v>
      </c>
    </row>
    <row r="157" spans="1:6" ht="12.75" customHeight="1">
      <c r="A157" s="7" t="s">
        <v>487</v>
      </c>
      <c r="B157" s="8" t="s">
        <v>930</v>
      </c>
      <c r="C157" s="95" t="s">
        <v>102</v>
      </c>
      <c r="D157" s="26">
        <f>0.27*D158</f>
        <v>2691.9</v>
      </c>
      <c r="E157" s="55">
        <v>791.71</v>
      </c>
      <c r="F157" s="6">
        <f>(D157*E157)/1000</f>
        <v>2131.204149</v>
      </c>
    </row>
    <row r="158" spans="1:6" ht="12.75" customHeight="1">
      <c r="A158" s="7" t="s">
        <v>488</v>
      </c>
      <c r="B158" s="8" t="s">
        <v>414</v>
      </c>
      <c r="C158" s="9" t="s">
        <v>97</v>
      </c>
      <c r="D158" s="26">
        <v>9970</v>
      </c>
      <c r="E158" s="55">
        <v>258.27</v>
      </c>
      <c r="F158" s="6">
        <f>(D158*E158)/1000</f>
        <v>2574.9519</v>
      </c>
    </row>
    <row r="159" spans="1:6" ht="12.75" customHeight="1">
      <c r="A159" s="7" t="s">
        <v>489</v>
      </c>
      <c r="B159" s="8" t="s">
        <v>415</v>
      </c>
      <c r="C159" s="9" t="s">
        <v>102</v>
      </c>
      <c r="D159" s="26">
        <f>0.06*D158</f>
        <v>598.1999999999999</v>
      </c>
      <c r="E159" s="55">
        <v>7887.3</v>
      </c>
      <c r="F159" s="6">
        <f>(D159*E159)/1000</f>
        <v>4718.182859999999</v>
      </c>
    </row>
    <row r="160" spans="1:6" ht="12.75" customHeight="1">
      <c r="A160" s="7" t="s">
        <v>476</v>
      </c>
      <c r="B160" s="8" t="s">
        <v>921</v>
      </c>
      <c r="C160" s="9" t="s">
        <v>87</v>
      </c>
      <c r="D160" s="26">
        <v>4</v>
      </c>
      <c r="E160" s="140">
        <f>SUM(F140,F145,F150,F155)</f>
        <v>927810.5686410001</v>
      </c>
      <c r="F160" s="6">
        <f>D160*E160/100</f>
        <v>37112.422745640004</v>
      </c>
    </row>
    <row r="161" spans="1:6" ht="12.75" customHeight="1">
      <c r="A161" s="7" t="s">
        <v>477</v>
      </c>
      <c r="B161" s="8" t="s">
        <v>26</v>
      </c>
      <c r="C161" s="5" t="s">
        <v>87</v>
      </c>
      <c r="D161" s="26">
        <v>1</v>
      </c>
      <c r="E161" s="27"/>
      <c r="F161" s="6">
        <f>SUM(F132,F136,F140,F145,F150,F155,F160)*D161/100</f>
        <v>10411.766860262402</v>
      </c>
    </row>
    <row r="162" spans="1:6" ht="12.75" customHeight="1">
      <c r="A162" s="7" t="s">
        <v>105</v>
      </c>
      <c r="B162" s="8" t="s">
        <v>106</v>
      </c>
      <c r="C162" s="5" t="s">
        <v>11</v>
      </c>
      <c r="D162" s="26">
        <v>1</v>
      </c>
      <c r="E162" s="140">
        <v>35971300.21</v>
      </c>
      <c r="F162" s="6">
        <f>D162*E162/1000</f>
        <v>35971.30021</v>
      </c>
    </row>
    <row r="163" spans="1:6" ht="12.75" customHeight="1">
      <c r="A163" s="7" t="s">
        <v>107</v>
      </c>
      <c r="B163" s="8" t="s">
        <v>440</v>
      </c>
      <c r="C163" s="5" t="s">
        <v>87</v>
      </c>
      <c r="D163" s="70">
        <v>2</v>
      </c>
      <c r="E163" s="27"/>
      <c r="F163" s="6">
        <f>(SUM(F130,F131,F162)*D163/100)</f>
        <v>21751.19506193005</v>
      </c>
    </row>
    <row r="164" spans="1:6" ht="12.75" customHeight="1">
      <c r="A164" s="3"/>
      <c r="B164" s="4"/>
      <c r="C164" s="5"/>
      <c r="D164" s="27"/>
      <c r="E164" s="27"/>
      <c r="F164" s="6"/>
    </row>
    <row r="165" spans="1:6" ht="12.75" customHeight="1">
      <c r="A165" s="7" t="s">
        <v>108</v>
      </c>
      <c r="B165" s="8" t="s">
        <v>286</v>
      </c>
      <c r="C165" s="9" t="s">
        <v>11</v>
      </c>
      <c r="D165" s="27"/>
      <c r="E165" s="27"/>
      <c r="F165" s="6">
        <f>SUM(F166,F262,F340,F417,F486:F487)</f>
        <v>2853951.4141545687</v>
      </c>
    </row>
    <row r="166" spans="1:6" ht="12.75" customHeight="1">
      <c r="A166" s="7" t="s">
        <v>109</v>
      </c>
      <c r="B166" s="8" t="s">
        <v>296</v>
      </c>
      <c r="C166" s="5" t="s">
        <v>11</v>
      </c>
      <c r="D166" s="27"/>
      <c r="E166" s="27"/>
      <c r="F166" s="6">
        <f>F167</f>
        <v>93017.96891</v>
      </c>
    </row>
    <row r="167" spans="1:6" ht="12.75" customHeight="1">
      <c r="A167" s="7" t="s">
        <v>110</v>
      </c>
      <c r="B167" s="8" t="s">
        <v>297</v>
      </c>
      <c r="C167" s="9" t="s">
        <v>11</v>
      </c>
      <c r="D167" s="8"/>
      <c r="E167" s="8"/>
      <c r="F167" s="6">
        <f>F168+F227+F245</f>
        <v>93017.96891</v>
      </c>
    </row>
    <row r="168" spans="1:6" ht="12.75" customHeight="1">
      <c r="A168" s="7" t="s">
        <v>292</v>
      </c>
      <c r="B168" s="8" t="s">
        <v>492</v>
      </c>
      <c r="C168" s="9" t="s">
        <v>11</v>
      </c>
      <c r="D168" s="27"/>
      <c r="E168" s="27"/>
      <c r="F168" s="6">
        <f>F169+F183</f>
        <v>54467.0269</v>
      </c>
    </row>
    <row r="169" spans="1:6" ht="12.75" customHeight="1">
      <c r="A169" s="7" t="s">
        <v>372</v>
      </c>
      <c r="B169" s="8" t="s">
        <v>519</v>
      </c>
      <c r="C169" s="9" t="s">
        <v>11</v>
      </c>
      <c r="D169" s="27"/>
      <c r="E169" s="27"/>
      <c r="F169" s="6">
        <f>F170+F174+F178+F180+F182</f>
        <v>15423.618</v>
      </c>
    </row>
    <row r="170" spans="1:6" ht="12.75" customHeight="1">
      <c r="A170" s="7" t="s">
        <v>521</v>
      </c>
      <c r="B170" s="8" t="s">
        <v>566</v>
      </c>
      <c r="C170" s="9"/>
      <c r="D170" s="26"/>
      <c r="E170" s="27"/>
      <c r="F170" s="6">
        <f>SUM(F171:F173)</f>
        <v>4442.201999999999</v>
      </c>
    </row>
    <row r="171" spans="1:6" ht="12.75" customHeight="1">
      <c r="A171" s="7" t="s">
        <v>522</v>
      </c>
      <c r="B171" s="8" t="s">
        <v>549</v>
      </c>
      <c r="C171" s="9" t="s">
        <v>97</v>
      </c>
      <c r="D171" s="26">
        <v>372600</v>
      </c>
      <c r="E171" s="27">
        <v>9.83</v>
      </c>
      <c r="F171" s="6">
        <f>(D171*E171)/1000</f>
        <v>3662.658</v>
      </c>
    </row>
    <row r="172" spans="1:6" ht="12.75" customHeight="1">
      <c r="A172" s="7" t="s">
        <v>523</v>
      </c>
      <c r="B172" s="8" t="s">
        <v>547</v>
      </c>
      <c r="C172" s="9" t="s">
        <v>97</v>
      </c>
      <c r="D172" s="26">
        <v>16200</v>
      </c>
      <c r="E172" s="27">
        <v>18.12</v>
      </c>
      <c r="F172" s="6">
        <f>(D172*E172)/1000</f>
        <v>293.544</v>
      </c>
    </row>
    <row r="173" spans="1:6" ht="12.75" customHeight="1">
      <c r="A173" s="7" t="s">
        <v>524</v>
      </c>
      <c r="B173" s="8" t="s">
        <v>548</v>
      </c>
      <c r="C173" s="9" t="s">
        <v>97</v>
      </c>
      <c r="D173" s="26">
        <v>32400</v>
      </c>
      <c r="E173" s="27">
        <v>15</v>
      </c>
      <c r="F173" s="6">
        <f>(D173*E173)/1000</f>
        <v>486</v>
      </c>
    </row>
    <row r="174" spans="1:6" ht="12.75" customHeight="1">
      <c r="A174" s="7" t="s">
        <v>525</v>
      </c>
      <c r="B174" s="8" t="s">
        <v>567</v>
      </c>
      <c r="C174" s="9"/>
      <c r="D174" s="26"/>
      <c r="E174" s="27"/>
      <c r="F174" s="6">
        <f>SUM(F175:F177)</f>
        <v>4072.8</v>
      </c>
    </row>
    <row r="175" spans="1:6" ht="12.75" customHeight="1">
      <c r="A175" s="7" t="s">
        <v>526</v>
      </c>
      <c r="B175" s="8" t="s">
        <v>549</v>
      </c>
      <c r="C175" s="9" t="s">
        <v>97</v>
      </c>
      <c r="D175" s="26">
        <v>336000</v>
      </c>
      <c r="E175" s="27">
        <v>9.83</v>
      </c>
      <c r="F175" s="6">
        <f>(D175*E175)/1000</f>
        <v>3302.88</v>
      </c>
    </row>
    <row r="176" spans="1:6" ht="12.75" customHeight="1">
      <c r="A176" s="7" t="s">
        <v>527</v>
      </c>
      <c r="B176" s="8" t="s">
        <v>547</v>
      </c>
      <c r="C176" s="9" t="s">
        <v>97</v>
      </c>
      <c r="D176" s="26">
        <v>16000</v>
      </c>
      <c r="E176" s="27">
        <v>18.12</v>
      </c>
      <c r="F176" s="6">
        <f>(D176*E176)/1000</f>
        <v>289.92</v>
      </c>
    </row>
    <row r="177" spans="1:6" ht="12.75" customHeight="1">
      <c r="A177" s="7" t="s">
        <v>528</v>
      </c>
      <c r="B177" s="8" t="s">
        <v>548</v>
      </c>
      <c r="C177" s="9" t="s">
        <v>97</v>
      </c>
      <c r="D177" s="26">
        <v>32000</v>
      </c>
      <c r="E177" s="27">
        <v>15</v>
      </c>
      <c r="F177" s="6">
        <f>(D177*E177)/1000</f>
        <v>480</v>
      </c>
    </row>
    <row r="178" spans="1:6" ht="12.75" customHeight="1">
      <c r="A178" s="7" t="s">
        <v>374</v>
      </c>
      <c r="B178" s="8" t="s">
        <v>568</v>
      </c>
      <c r="C178" s="9" t="s">
        <v>11</v>
      </c>
      <c r="D178" s="26"/>
      <c r="E178" s="27"/>
      <c r="F178" s="6">
        <f>SUM(F179:F179)</f>
        <v>3613.896</v>
      </c>
    </row>
    <row r="179" spans="1:6" ht="12.75" customHeight="1">
      <c r="A179" s="7" t="s">
        <v>375</v>
      </c>
      <c r="B179" s="8" t="s">
        <v>550</v>
      </c>
      <c r="C179" s="9" t="s">
        <v>97</v>
      </c>
      <c r="D179" s="26">
        <v>421200</v>
      </c>
      <c r="E179" s="27">
        <v>8.58</v>
      </c>
      <c r="F179" s="6">
        <f>D179*E179/1000</f>
        <v>3613.896</v>
      </c>
    </row>
    <row r="180" spans="1:6" ht="12.75" customHeight="1">
      <c r="A180" s="7" t="s">
        <v>373</v>
      </c>
      <c r="B180" s="8" t="s">
        <v>569</v>
      </c>
      <c r="C180" s="9" t="s">
        <v>11</v>
      </c>
      <c r="D180" s="26"/>
      <c r="E180" s="27"/>
      <c r="F180" s="6">
        <f>SUM(F181:F181)</f>
        <v>3294.72</v>
      </c>
    </row>
    <row r="181" spans="1:6" ht="12.75" customHeight="1">
      <c r="A181" s="7" t="s">
        <v>529</v>
      </c>
      <c r="B181" s="8" t="s">
        <v>550</v>
      </c>
      <c r="C181" s="9" t="s">
        <v>97</v>
      </c>
      <c r="D181" s="26">
        <v>384000</v>
      </c>
      <c r="E181" s="27">
        <v>8.58</v>
      </c>
      <c r="F181" s="6">
        <f>D181*E181/1000</f>
        <v>3294.72</v>
      </c>
    </row>
    <row r="182" spans="1:6" ht="12.75" customHeight="1">
      <c r="A182" s="7" t="s">
        <v>530</v>
      </c>
      <c r="B182" s="8" t="s">
        <v>301</v>
      </c>
      <c r="C182" s="9" t="s">
        <v>11</v>
      </c>
      <c r="D182" s="26" t="s">
        <v>288</v>
      </c>
      <c r="E182" s="69" t="s">
        <v>288</v>
      </c>
      <c r="F182" s="6"/>
    </row>
    <row r="183" spans="1:6" ht="12.75" customHeight="1">
      <c r="A183" s="7" t="s">
        <v>520</v>
      </c>
      <c r="B183" s="8" t="s">
        <v>531</v>
      </c>
      <c r="C183" s="9" t="s">
        <v>11</v>
      </c>
      <c r="D183" s="26"/>
      <c r="E183" s="27"/>
      <c r="F183" s="6">
        <f>F184+F188+F192+F196+F200+F204+F208+F211+F214+F217+F220+F223+F226</f>
        <v>39043.408899999995</v>
      </c>
    </row>
    <row r="184" spans="1:6" ht="12.75" customHeight="1">
      <c r="A184" s="7" t="s">
        <v>532</v>
      </c>
      <c r="B184" s="8" t="s">
        <v>897</v>
      </c>
      <c r="C184" s="9"/>
      <c r="D184" s="26"/>
      <c r="E184" s="27"/>
      <c r="F184" s="6">
        <f>SUM(F185:F187)</f>
        <v>3804.6945</v>
      </c>
    </row>
    <row r="185" spans="1:6" ht="12.75" customHeight="1">
      <c r="A185" s="7" t="s">
        <v>533</v>
      </c>
      <c r="B185" s="8" t="s">
        <v>549</v>
      </c>
      <c r="C185" s="9" t="s">
        <v>97</v>
      </c>
      <c r="D185" s="26">
        <v>330150</v>
      </c>
      <c r="E185" s="27">
        <v>9.83</v>
      </c>
      <c r="F185" s="6">
        <f>(D185*E185)/1000</f>
        <v>3245.3745</v>
      </c>
    </row>
    <row r="186" spans="1:6" ht="12.75" customHeight="1">
      <c r="A186" s="7" t="s">
        <v>534</v>
      </c>
      <c r="B186" s="8" t="s">
        <v>547</v>
      </c>
      <c r="C186" s="9" t="s">
        <v>97</v>
      </c>
      <c r="D186" s="26">
        <v>11850</v>
      </c>
      <c r="E186" s="27">
        <v>18.12</v>
      </c>
      <c r="F186" s="6">
        <f>(D186*E186)/1000</f>
        <v>214.722</v>
      </c>
    </row>
    <row r="187" spans="1:6" ht="12.75" customHeight="1">
      <c r="A187" s="7" t="s">
        <v>535</v>
      </c>
      <c r="B187" s="8" t="s">
        <v>598</v>
      </c>
      <c r="C187" s="9" t="s">
        <v>97</v>
      </c>
      <c r="D187" s="26">
        <v>23700</v>
      </c>
      <c r="E187" s="27">
        <v>14.54</v>
      </c>
      <c r="F187" s="6">
        <f>(D187*E187)/1000</f>
        <v>344.598</v>
      </c>
    </row>
    <row r="188" spans="1:6" ht="12.75" customHeight="1">
      <c r="A188" s="7" t="s">
        <v>536</v>
      </c>
      <c r="B188" s="8" t="s">
        <v>898</v>
      </c>
      <c r="C188" s="9"/>
      <c r="D188" s="26"/>
      <c r="E188" s="27"/>
      <c r="F188" s="6">
        <f>SUM(F189:F191)</f>
        <v>660.6179999999999</v>
      </c>
    </row>
    <row r="189" spans="1:6" ht="12.75" customHeight="1">
      <c r="A189" s="7" t="s">
        <v>537</v>
      </c>
      <c r="B189" s="8" t="s">
        <v>549</v>
      </c>
      <c r="C189" s="9" t="s">
        <v>97</v>
      </c>
      <c r="D189" s="26">
        <v>54600</v>
      </c>
      <c r="E189" s="27">
        <v>9.83</v>
      </c>
      <c r="F189" s="6">
        <f>(D189*E189)/1000</f>
        <v>536.718</v>
      </c>
    </row>
    <row r="190" spans="1:6" ht="12.75" customHeight="1">
      <c r="A190" s="7" t="s">
        <v>538</v>
      </c>
      <c r="B190" s="8" t="s">
        <v>547</v>
      </c>
      <c r="C190" s="9" t="s">
        <v>97</v>
      </c>
      <c r="D190" s="26">
        <v>2625</v>
      </c>
      <c r="E190" s="27">
        <v>18.12</v>
      </c>
      <c r="F190" s="6">
        <f>(D190*E190)/1000</f>
        <v>47.565</v>
      </c>
    </row>
    <row r="191" spans="1:6" ht="12.75" customHeight="1">
      <c r="A191" s="7" t="s">
        <v>539</v>
      </c>
      <c r="B191" s="8" t="s">
        <v>598</v>
      </c>
      <c r="C191" s="9" t="s">
        <v>97</v>
      </c>
      <c r="D191" s="26">
        <v>5250</v>
      </c>
      <c r="E191" s="27">
        <v>14.54</v>
      </c>
      <c r="F191" s="6">
        <f>(D191*E191)/1000</f>
        <v>76.335</v>
      </c>
    </row>
    <row r="192" spans="1:6" ht="12.75" customHeight="1">
      <c r="A192" s="7" t="s">
        <v>552</v>
      </c>
      <c r="B192" s="8" t="s">
        <v>899</v>
      </c>
      <c r="C192" s="9"/>
      <c r="D192" s="26"/>
      <c r="E192" s="27"/>
      <c r="F192" s="6">
        <f>SUM(F193:F195)</f>
        <v>660.6179999999999</v>
      </c>
    </row>
    <row r="193" spans="1:6" ht="12.75" customHeight="1">
      <c r="A193" s="7" t="s">
        <v>553</v>
      </c>
      <c r="B193" s="8" t="s">
        <v>549</v>
      </c>
      <c r="C193" s="9" t="s">
        <v>97</v>
      </c>
      <c r="D193" s="26">
        <v>54600</v>
      </c>
      <c r="E193" s="27">
        <v>9.83</v>
      </c>
      <c r="F193" s="6">
        <f>(D193*E193)/1000</f>
        <v>536.718</v>
      </c>
    </row>
    <row r="194" spans="1:6" ht="12.75" customHeight="1">
      <c r="A194" s="7" t="s">
        <v>554</v>
      </c>
      <c r="B194" s="8" t="s">
        <v>547</v>
      </c>
      <c r="C194" s="9" t="s">
        <v>97</v>
      </c>
      <c r="D194" s="26">
        <v>2625</v>
      </c>
      <c r="E194" s="27">
        <v>18.12</v>
      </c>
      <c r="F194" s="6">
        <f>(D194*E194)/1000</f>
        <v>47.565</v>
      </c>
    </row>
    <row r="195" spans="1:6" ht="12.75" customHeight="1">
      <c r="A195" s="7" t="s">
        <v>555</v>
      </c>
      <c r="B195" s="8" t="s">
        <v>598</v>
      </c>
      <c r="C195" s="9" t="s">
        <v>97</v>
      </c>
      <c r="D195" s="26">
        <v>5250</v>
      </c>
      <c r="E195" s="27">
        <v>14.54</v>
      </c>
      <c r="F195" s="6">
        <f>(D195*E195)/1000</f>
        <v>76.335</v>
      </c>
    </row>
    <row r="196" spans="1:6" ht="12.75" customHeight="1">
      <c r="A196" s="7" t="s">
        <v>556</v>
      </c>
      <c r="B196" s="8" t="s">
        <v>900</v>
      </c>
      <c r="C196" s="9"/>
      <c r="D196" s="26"/>
      <c r="E196" s="27"/>
      <c r="F196" s="6">
        <f>SUM(F197:F199)</f>
        <v>2199.266</v>
      </c>
    </row>
    <row r="197" spans="1:6" ht="12.75" customHeight="1">
      <c r="A197" s="7" t="s">
        <v>557</v>
      </c>
      <c r="B197" s="8" t="s">
        <v>549</v>
      </c>
      <c r="C197" s="9" t="s">
        <v>97</v>
      </c>
      <c r="D197" s="26">
        <v>194200</v>
      </c>
      <c r="E197" s="27">
        <v>9.83</v>
      </c>
      <c r="F197" s="6">
        <f>(D197*E197)/1000</f>
        <v>1908.986</v>
      </c>
    </row>
    <row r="198" spans="1:6" ht="12.75" customHeight="1">
      <c r="A198" s="7" t="s">
        <v>558</v>
      </c>
      <c r="B198" s="8" t="s">
        <v>547</v>
      </c>
      <c r="C198" s="9" t="s">
        <v>97</v>
      </c>
      <c r="D198" s="26">
        <v>6150</v>
      </c>
      <c r="E198" s="27">
        <v>18.12</v>
      </c>
      <c r="F198" s="6">
        <f>(D198*E198)/1000</f>
        <v>111.438</v>
      </c>
    </row>
    <row r="199" spans="1:6" ht="12.75" customHeight="1">
      <c r="A199" s="7" t="s">
        <v>559</v>
      </c>
      <c r="B199" s="8" t="s">
        <v>598</v>
      </c>
      <c r="C199" s="9" t="s">
        <v>97</v>
      </c>
      <c r="D199" s="26">
        <v>12300</v>
      </c>
      <c r="E199" s="27">
        <v>14.54</v>
      </c>
      <c r="F199" s="6">
        <f>(D199*E199)/1000</f>
        <v>178.842</v>
      </c>
    </row>
    <row r="200" spans="1:6" ht="12.75" customHeight="1">
      <c r="A200" s="7" t="s">
        <v>570</v>
      </c>
      <c r="B200" s="8" t="s">
        <v>901</v>
      </c>
      <c r="C200" s="9"/>
      <c r="D200" s="26"/>
      <c r="E200" s="27"/>
      <c r="F200" s="6">
        <f>SUM(F201:F203)</f>
        <v>7839.625</v>
      </c>
    </row>
    <row r="201" spans="1:6" ht="12.75" customHeight="1">
      <c r="A201" s="7" t="s">
        <v>571</v>
      </c>
      <c r="B201" s="8" t="s">
        <v>549</v>
      </c>
      <c r="C201" s="9" t="s">
        <v>97</v>
      </c>
      <c r="D201" s="26">
        <v>737500</v>
      </c>
      <c r="E201" s="27">
        <v>9.83</v>
      </c>
      <c r="F201" s="6">
        <f>(D201*E201)/1000</f>
        <v>7249.625</v>
      </c>
    </row>
    <row r="202" spans="1:6" ht="12.75" customHeight="1">
      <c r="A202" s="7" t="s">
        <v>572</v>
      </c>
      <c r="B202" s="8" t="s">
        <v>547</v>
      </c>
      <c r="C202" s="9" t="s">
        <v>97</v>
      </c>
      <c r="D202" s="26">
        <v>12500</v>
      </c>
      <c r="E202" s="27">
        <v>18.12</v>
      </c>
      <c r="F202" s="6">
        <f>(D202*E202)/1000</f>
        <v>226.5</v>
      </c>
    </row>
    <row r="203" spans="1:6" ht="12.75" customHeight="1">
      <c r="A203" s="7" t="s">
        <v>573</v>
      </c>
      <c r="B203" s="8" t="s">
        <v>598</v>
      </c>
      <c r="C203" s="9" t="s">
        <v>97</v>
      </c>
      <c r="D203" s="26">
        <v>25000</v>
      </c>
      <c r="E203" s="27">
        <v>14.54</v>
      </c>
      <c r="F203" s="6">
        <f>(D203*E203)/1000</f>
        <v>363.5</v>
      </c>
    </row>
    <row r="204" spans="1:6" ht="12.75" customHeight="1">
      <c r="A204" s="7" t="s">
        <v>574</v>
      </c>
      <c r="B204" s="8" t="s">
        <v>902</v>
      </c>
      <c r="C204" s="9"/>
      <c r="D204" s="26"/>
      <c r="E204" s="27"/>
      <c r="F204" s="6">
        <f>SUM(F205:F207)</f>
        <v>5988.3096</v>
      </c>
    </row>
    <row r="205" spans="1:6" ht="12.75" customHeight="1">
      <c r="A205" s="7" t="s">
        <v>575</v>
      </c>
      <c r="B205" s="8" t="s">
        <v>549</v>
      </c>
      <c r="C205" s="9" t="s">
        <v>97</v>
      </c>
      <c r="D205" s="26">
        <v>552720</v>
      </c>
      <c r="E205" s="27">
        <v>9.83</v>
      </c>
      <c r="F205" s="6">
        <f>(D205*E205)/1000</f>
        <v>5433.2375999999995</v>
      </c>
    </row>
    <row r="206" spans="1:6" ht="12.75" customHeight="1">
      <c r="A206" s="7" t="s">
        <v>576</v>
      </c>
      <c r="B206" s="8" t="s">
        <v>547</v>
      </c>
      <c r="C206" s="9" t="s">
        <v>97</v>
      </c>
      <c r="D206" s="26">
        <v>11760</v>
      </c>
      <c r="E206" s="27">
        <v>18.12</v>
      </c>
      <c r="F206" s="6">
        <f>(D206*E206)/1000</f>
        <v>213.09120000000001</v>
      </c>
    </row>
    <row r="207" spans="1:6" ht="12.75" customHeight="1">
      <c r="A207" s="7" t="s">
        <v>577</v>
      </c>
      <c r="B207" s="8" t="s">
        <v>598</v>
      </c>
      <c r="C207" s="9" t="s">
        <v>97</v>
      </c>
      <c r="D207" s="26">
        <v>23520</v>
      </c>
      <c r="E207" s="27">
        <v>14.54</v>
      </c>
      <c r="F207" s="6">
        <f>(D207*E207)/1000</f>
        <v>341.9808</v>
      </c>
    </row>
    <row r="208" spans="1:6" ht="12.75" customHeight="1">
      <c r="A208" s="7" t="s">
        <v>540</v>
      </c>
      <c r="B208" s="8" t="s">
        <v>903</v>
      </c>
      <c r="C208" s="9" t="s">
        <v>11</v>
      </c>
      <c r="D208" s="26"/>
      <c r="E208" s="27"/>
      <c r="F208" s="6">
        <f>SUM(F209:F210)</f>
        <v>3137.706</v>
      </c>
    </row>
    <row r="209" spans="1:6" ht="12.75" customHeight="1">
      <c r="A209" s="7" t="s">
        <v>541</v>
      </c>
      <c r="B209" s="8" t="s">
        <v>550</v>
      </c>
      <c r="C209" s="9" t="s">
        <v>97</v>
      </c>
      <c r="D209" s="26">
        <v>365700</v>
      </c>
      <c r="E209" s="27">
        <v>8.58</v>
      </c>
      <c r="F209" s="6">
        <f>D209*E209/1000</f>
        <v>3137.706</v>
      </c>
    </row>
    <row r="210" spans="1:6" ht="12.75" customHeight="1">
      <c r="A210" s="7" t="s">
        <v>542</v>
      </c>
      <c r="B210" s="8" t="s">
        <v>551</v>
      </c>
      <c r="C210" s="9" t="s">
        <v>97</v>
      </c>
      <c r="D210" s="26"/>
      <c r="E210" s="27"/>
      <c r="F210" s="6">
        <f>D210*E210/1000</f>
        <v>0</v>
      </c>
    </row>
    <row r="211" spans="1:6" ht="12.75" customHeight="1">
      <c r="A211" s="7" t="s">
        <v>543</v>
      </c>
      <c r="B211" s="8" t="s">
        <v>904</v>
      </c>
      <c r="C211" s="9" t="s">
        <v>11</v>
      </c>
      <c r="D211" s="26"/>
      <c r="E211" s="27"/>
      <c r="F211" s="6">
        <f>SUM(F212:F213)</f>
        <v>536.0355</v>
      </c>
    </row>
    <row r="212" spans="1:6" ht="12.75" customHeight="1">
      <c r="A212" s="7" t="s">
        <v>544</v>
      </c>
      <c r="B212" s="8" t="s">
        <v>550</v>
      </c>
      <c r="C212" s="9" t="s">
        <v>97</v>
      </c>
      <c r="D212" s="26">
        <v>62475</v>
      </c>
      <c r="E212" s="27">
        <v>8.58</v>
      </c>
      <c r="F212" s="6">
        <f>D212*E212/1000</f>
        <v>536.0355</v>
      </c>
    </row>
    <row r="213" spans="1:6" ht="12.75" customHeight="1">
      <c r="A213" s="7" t="s">
        <v>545</v>
      </c>
      <c r="B213" s="8" t="s">
        <v>551</v>
      </c>
      <c r="C213" s="9" t="s">
        <v>97</v>
      </c>
      <c r="D213" s="26"/>
      <c r="E213" s="27"/>
      <c r="F213" s="6">
        <f>D213*E213/1000</f>
        <v>0</v>
      </c>
    </row>
    <row r="214" spans="1:6" ht="12.75" customHeight="1">
      <c r="A214" s="7" t="s">
        <v>546</v>
      </c>
      <c r="B214" s="8" t="s">
        <v>905</v>
      </c>
      <c r="C214" s="9" t="s">
        <v>11</v>
      </c>
      <c r="D214" s="26"/>
      <c r="E214" s="27"/>
      <c r="F214" s="6">
        <f>SUM(F215:F216)</f>
        <v>536.0355</v>
      </c>
    </row>
    <row r="215" spans="1:6" ht="12.75" customHeight="1">
      <c r="A215" s="7" t="s">
        <v>560</v>
      </c>
      <c r="B215" s="8" t="s">
        <v>550</v>
      </c>
      <c r="C215" s="9" t="s">
        <v>97</v>
      </c>
      <c r="D215" s="26">
        <v>62475</v>
      </c>
      <c r="E215" s="27">
        <v>8.58</v>
      </c>
      <c r="F215" s="6">
        <f>D215*E215/1000</f>
        <v>536.0355</v>
      </c>
    </row>
    <row r="216" spans="1:6" ht="12.75" customHeight="1">
      <c r="A216" s="7" t="s">
        <v>561</v>
      </c>
      <c r="B216" s="8" t="s">
        <v>551</v>
      </c>
      <c r="C216" s="9" t="s">
        <v>97</v>
      </c>
      <c r="D216" s="26"/>
      <c r="E216" s="27"/>
      <c r="F216" s="6">
        <f>D216*E216/1000</f>
        <v>0</v>
      </c>
    </row>
    <row r="217" spans="1:6" ht="12.75" customHeight="1">
      <c r="A217" s="7" t="s">
        <v>562</v>
      </c>
      <c r="B217" s="8" t="s">
        <v>906</v>
      </c>
      <c r="C217" s="9" t="s">
        <v>11</v>
      </c>
      <c r="D217" s="26"/>
      <c r="E217" s="27"/>
      <c r="F217" s="6">
        <f>SUM(F218:F219)</f>
        <v>1824.537</v>
      </c>
    </row>
    <row r="218" spans="1:6" ht="12.75" customHeight="1">
      <c r="A218" s="7" t="s">
        <v>563</v>
      </c>
      <c r="B218" s="8" t="s">
        <v>550</v>
      </c>
      <c r="C218" s="9" t="s">
        <v>97</v>
      </c>
      <c r="D218" s="26">
        <v>212650</v>
      </c>
      <c r="E218" s="27">
        <v>8.58</v>
      </c>
      <c r="F218" s="6">
        <f>D218*E218/1000</f>
        <v>1824.537</v>
      </c>
    </row>
    <row r="219" spans="1:6" ht="12.75" customHeight="1">
      <c r="A219" s="7" t="s">
        <v>564</v>
      </c>
      <c r="B219" s="8" t="s">
        <v>551</v>
      </c>
      <c r="C219" s="9" t="s">
        <v>97</v>
      </c>
      <c r="D219" s="26"/>
      <c r="E219" s="27"/>
      <c r="F219" s="6">
        <f>D219*E219/1000</f>
        <v>0</v>
      </c>
    </row>
    <row r="220" spans="1:6" ht="12.75" customHeight="1">
      <c r="A220" s="7" t="s">
        <v>565</v>
      </c>
      <c r="B220" s="8" t="s">
        <v>907</v>
      </c>
      <c r="C220" s="9" t="s">
        <v>11</v>
      </c>
      <c r="D220" s="26"/>
      <c r="E220" s="27"/>
      <c r="F220" s="6">
        <f>SUM(F221:F222)</f>
        <v>6489.299999999999</v>
      </c>
    </row>
    <row r="221" spans="1:6" ht="12.75" customHeight="1">
      <c r="A221" s="7" t="s">
        <v>578</v>
      </c>
      <c r="B221" s="8" t="s">
        <v>550</v>
      </c>
      <c r="C221" s="9" t="s">
        <v>97</v>
      </c>
      <c r="D221" s="26">
        <v>629000</v>
      </c>
      <c r="E221" s="27">
        <v>8.58</v>
      </c>
      <c r="F221" s="6">
        <f>D221*E221/1000</f>
        <v>5396.82</v>
      </c>
    </row>
    <row r="222" spans="1:6" ht="12.75" customHeight="1">
      <c r="A222" s="7" t="s">
        <v>579</v>
      </c>
      <c r="B222" s="8" t="s">
        <v>551</v>
      </c>
      <c r="C222" s="9" t="s">
        <v>97</v>
      </c>
      <c r="D222" s="26">
        <v>96000</v>
      </c>
      <c r="E222" s="27">
        <v>11.38</v>
      </c>
      <c r="F222" s="6">
        <f>D222*E222/1000</f>
        <v>1092.48</v>
      </c>
    </row>
    <row r="223" spans="1:6" ht="12.75" customHeight="1">
      <c r="A223" s="7" t="s">
        <v>580</v>
      </c>
      <c r="B223" s="8" t="s">
        <v>908</v>
      </c>
      <c r="C223" s="9" t="s">
        <v>11</v>
      </c>
      <c r="D223" s="26"/>
      <c r="E223" s="27"/>
      <c r="F223" s="6">
        <f>SUM(F224:F225)</f>
        <v>5162.64</v>
      </c>
    </row>
    <row r="224" spans="1:6" ht="12.75" customHeight="1">
      <c r="A224" s="7" t="s">
        <v>581</v>
      </c>
      <c r="B224" s="8" t="s">
        <v>550</v>
      </c>
      <c r="C224" s="9" t="s">
        <v>97</v>
      </c>
      <c r="D224" s="26">
        <v>546000</v>
      </c>
      <c r="E224" s="27">
        <v>8.58</v>
      </c>
      <c r="F224" s="6">
        <f>D224*E224/1000</f>
        <v>4684.68</v>
      </c>
    </row>
    <row r="225" spans="1:6" ht="12.75" customHeight="1">
      <c r="A225" s="7" t="s">
        <v>582</v>
      </c>
      <c r="B225" s="8" t="s">
        <v>551</v>
      </c>
      <c r="C225" s="9" t="s">
        <v>97</v>
      </c>
      <c r="D225" s="26">
        <v>42000</v>
      </c>
      <c r="E225" s="27">
        <v>11.38</v>
      </c>
      <c r="F225" s="6">
        <f>D225*E225/1000</f>
        <v>477.96000000000004</v>
      </c>
    </row>
    <row r="226" spans="1:6" ht="12.75" customHeight="1">
      <c r="A226" s="7" t="s">
        <v>583</v>
      </c>
      <c r="B226" s="8" t="s">
        <v>922</v>
      </c>
      <c r="C226" s="9" t="s">
        <v>11</v>
      </c>
      <c r="D226" s="26">
        <v>1</v>
      </c>
      <c r="E226" s="140">
        <v>204023.8</v>
      </c>
      <c r="F226" s="6">
        <f>D226*E226/1000</f>
        <v>204.0238</v>
      </c>
    </row>
    <row r="227" spans="1:6" ht="12.75" customHeight="1">
      <c r="A227" s="7" t="s">
        <v>293</v>
      </c>
      <c r="B227" s="8" t="s">
        <v>318</v>
      </c>
      <c r="C227" s="9" t="s">
        <v>11</v>
      </c>
      <c r="D227" s="27"/>
      <c r="E227" s="27"/>
      <c r="F227" s="6">
        <f>SUM(F228,F232,F236,F240)</f>
        <v>18189.512</v>
      </c>
    </row>
    <row r="228" spans="1:6" ht="12.75" customHeight="1">
      <c r="A228" s="7" t="s">
        <v>294</v>
      </c>
      <c r="B228" s="8" t="s">
        <v>959</v>
      </c>
      <c r="C228" s="9"/>
      <c r="D228" s="26"/>
      <c r="E228" s="27"/>
      <c r="F228" s="6">
        <f>SUM(F229:F231)</f>
        <v>3512.7679999999996</v>
      </c>
    </row>
    <row r="229" spans="1:6" ht="12.75" customHeight="1">
      <c r="A229" s="7" t="s">
        <v>362</v>
      </c>
      <c r="B229" s="8" t="s">
        <v>295</v>
      </c>
      <c r="C229" s="9" t="s">
        <v>97</v>
      </c>
      <c r="D229" s="26">
        <v>183400</v>
      </c>
      <c r="E229" s="146">
        <v>10.28</v>
      </c>
      <c r="F229" s="6">
        <f>(D229*E229)/1000</f>
        <v>1885.3519999999999</v>
      </c>
    </row>
    <row r="230" spans="1:6" ht="12.75" customHeight="1">
      <c r="A230" s="7" t="s">
        <v>363</v>
      </c>
      <c r="B230" s="8" t="s">
        <v>365</v>
      </c>
      <c r="C230" s="9" t="s">
        <v>97</v>
      </c>
      <c r="D230" s="26">
        <v>167800</v>
      </c>
      <c r="E230" s="146">
        <v>7.13</v>
      </c>
      <c r="F230" s="6">
        <f>(D230*E230)/1000</f>
        <v>1196.414</v>
      </c>
    </row>
    <row r="231" spans="1:6" ht="12.75" customHeight="1">
      <c r="A231" s="7" t="s">
        <v>364</v>
      </c>
      <c r="B231" s="8" t="s">
        <v>645</v>
      </c>
      <c r="C231" s="9" t="s">
        <v>97</v>
      </c>
      <c r="D231" s="26">
        <v>27400</v>
      </c>
      <c r="E231" s="146">
        <v>15.73</v>
      </c>
      <c r="F231" s="6">
        <f>(D231*E231)/1000</f>
        <v>431.002</v>
      </c>
    </row>
    <row r="232" spans="1:6" ht="12.75" customHeight="1">
      <c r="A232" s="7" t="s">
        <v>404</v>
      </c>
      <c r="B232" s="8" t="s">
        <v>493</v>
      </c>
      <c r="C232" s="9"/>
      <c r="D232" s="26"/>
      <c r="E232" s="27"/>
      <c r="F232" s="6">
        <f>SUM(F233:F235)</f>
        <v>8192.252999999999</v>
      </c>
    </row>
    <row r="233" spans="1:6" ht="12.75" customHeight="1">
      <c r="A233" s="7" t="s">
        <v>405</v>
      </c>
      <c r="B233" s="8" t="s">
        <v>295</v>
      </c>
      <c r="C233" s="9" t="s">
        <v>97</v>
      </c>
      <c r="D233" s="26">
        <v>639200</v>
      </c>
      <c r="E233" s="146">
        <v>10.28</v>
      </c>
      <c r="F233" s="6">
        <f>(D233*E233)/1000</f>
        <v>6570.976</v>
      </c>
    </row>
    <row r="234" spans="1:6" ht="12.75" customHeight="1">
      <c r="A234" s="7" t="s">
        <v>406</v>
      </c>
      <c r="B234" s="8" t="s">
        <v>365</v>
      </c>
      <c r="C234" s="9" t="s">
        <v>97</v>
      </c>
      <c r="D234" s="26">
        <v>138700</v>
      </c>
      <c r="E234" s="146">
        <v>7.13</v>
      </c>
      <c r="F234" s="6">
        <f>(D234*E234)/1000</f>
        <v>988.931</v>
      </c>
    </row>
    <row r="235" spans="1:6" ht="12.75" customHeight="1">
      <c r="A235" s="7" t="s">
        <v>407</v>
      </c>
      <c r="B235" s="8" t="s">
        <v>298</v>
      </c>
      <c r="C235" s="9" t="s">
        <v>97</v>
      </c>
      <c r="D235" s="26">
        <v>40200</v>
      </c>
      <c r="E235" s="146">
        <v>15.73</v>
      </c>
      <c r="F235" s="6">
        <f>(D235*E235)/1000</f>
        <v>632.346</v>
      </c>
    </row>
    <row r="236" spans="1:6" ht="12.75" customHeight="1">
      <c r="A236" s="7" t="s">
        <v>496</v>
      </c>
      <c r="B236" s="8" t="s">
        <v>494</v>
      </c>
      <c r="C236" s="9"/>
      <c r="D236" s="26"/>
      <c r="E236" s="27"/>
      <c r="F236" s="6">
        <f>SUM(F237:F239)</f>
        <v>2134.895</v>
      </c>
    </row>
    <row r="237" spans="1:6" ht="12.75" customHeight="1">
      <c r="A237" s="7" t="s">
        <v>497</v>
      </c>
      <c r="B237" s="8" t="s">
        <v>295</v>
      </c>
      <c r="C237" s="9" t="s">
        <v>97</v>
      </c>
      <c r="D237" s="26">
        <v>120100</v>
      </c>
      <c r="E237" s="146">
        <v>10.28</v>
      </c>
      <c r="F237" s="6">
        <f>(D237*E237)/1000</f>
        <v>1234.628</v>
      </c>
    </row>
    <row r="238" spans="1:6" ht="12.75" customHeight="1">
      <c r="A238" s="7" t="s">
        <v>498</v>
      </c>
      <c r="B238" s="8" t="s">
        <v>365</v>
      </c>
      <c r="C238" s="9" t="s">
        <v>97</v>
      </c>
      <c r="D238" s="26">
        <v>81700</v>
      </c>
      <c r="E238" s="146">
        <v>7.13</v>
      </c>
      <c r="F238" s="6">
        <f>(D238*E238)/1000</f>
        <v>582.521</v>
      </c>
    </row>
    <row r="239" spans="1:6" ht="12.75" customHeight="1">
      <c r="A239" s="7" t="s">
        <v>499</v>
      </c>
      <c r="B239" s="8" t="s">
        <v>298</v>
      </c>
      <c r="C239" s="9" t="s">
        <v>97</v>
      </c>
      <c r="D239" s="26">
        <v>20200</v>
      </c>
      <c r="E239" s="146">
        <v>15.73</v>
      </c>
      <c r="F239" s="6">
        <f>(D239*E239)/1000</f>
        <v>317.746</v>
      </c>
    </row>
    <row r="240" spans="1:6" ht="12.75" customHeight="1">
      <c r="A240" s="7" t="s">
        <v>500</v>
      </c>
      <c r="B240" s="8" t="s">
        <v>495</v>
      </c>
      <c r="C240" s="9"/>
      <c r="D240" s="26"/>
      <c r="E240" s="27"/>
      <c r="F240" s="6">
        <f>SUM(F241:F244)</f>
        <v>4349.596</v>
      </c>
    </row>
    <row r="241" spans="1:6" ht="12.75" customHeight="1">
      <c r="A241" s="7" t="s">
        <v>501</v>
      </c>
      <c r="B241" s="8" t="s">
        <v>295</v>
      </c>
      <c r="C241" s="9" t="s">
        <v>97</v>
      </c>
      <c r="D241" s="26">
        <v>300000</v>
      </c>
      <c r="E241" s="146">
        <v>10.28</v>
      </c>
      <c r="F241" s="6">
        <f>(D241*E241)/1000</f>
        <v>3084</v>
      </c>
    </row>
    <row r="242" spans="1:6" ht="12.75" customHeight="1">
      <c r="A242" s="7" t="s">
        <v>502</v>
      </c>
      <c r="B242" s="8" t="s">
        <v>365</v>
      </c>
      <c r="C242" s="9" t="s">
        <v>97</v>
      </c>
      <c r="D242" s="26">
        <v>123400</v>
      </c>
      <c r="E242" s="146">
        <v>7.13</v>
      </c>
      <c r="F242" s="6">
        <f>(D242*E242)/1000</f>
        <v>879.842</v>
      </c>
    </row>
    <row r="243" spans="1:6" ht="12.75" customHeight="1">
      <c r="A243" s="7" t="s">
        <v>503</v>
      </c>
      <c r="B243" s="8" t="s">
        <v>298</v>
      </c>
      <c r="C243" s="9" t="s">
        <v>97</v>
      </c>
      <c r="D243" s="26">
        <v>20200</v>
      </c>
      <c r="E243" s="146">
        <v>15.73</v>
      </c>
      <c r="F243" s="6">
        <f>(D243*E243)/1000</f>
        <v>317.746</v>
      </c>
    </row>
    <row r="244" spans="1:6" ht="12.75" customHeight="1">
      <c r="A244" s="7" t="s">
        <v>584</v>
      </c>
      <c r="B244" s="8" t="s">
        <v>993</v>
      </c>
      <c r="C244" s="9" t="s">
        <v>11</v>
      </c>
      <c r="D244" s="26"/>
      <c r="E244" s="140">
        <v>68008</v>
      </c>
      <c r="F244" s="6">
        <f>E244/1000</f>
        <v>68.008</v>
      </c>
    </row>
    <row r="245" spans="1:6" ht="12.75" customHeight="1">
      <c r="A245" s="7" t="s">
        <v>393</v>
      </c>
      <c r="B245" s="8" t="s">
        <v>599</v>
      </c>
      <c r="C245" s="9" t="s">
        <v>11</v>
      </c>
      <c r="D245" s="26"/>
      <c r="E245" s="27"/>
      <c r="F245" s="6">
        <f>SUM(F246,F254)</f>
        <v>20361.43001</v>
      </c>
    </row>
    <row r="246" spans="1:6" ht="12.75" customHeight="1">
      <c r="A246" s="7" t="s">
        <v>366</v>
      </c>
      <c r="B246" s="8" t="s">
        <v>909</v>
      </c>
      <c r="C246" s="9"/>
      <c r="D246" s="26"/>
      <c r="E246" s="27"/>
      <c r="F246" s="6">
        <f>SUM(F247:F249,F250,F253)</f>
        <v>7344.14417</v>
      </c>
    </row>
    <row r="247" spans="1:6" ht="12.75" customHeight="1">
      <c r="A247" s="7" t="s">
        <v>367</v>
      </c>
      <c r="B247" s="8" t="s">
        <v>994</v>
      </c>
      <c r="C247" s="9" t="s">
        <v>97</v>
      </c>
      <c r="D247" s="26">
        <v>346500</v>
      </c>
      <c r="E247" s="27">
        <v>10.28</v>
      </c>
      <c r="F247" s="6">
        <f>(D247*E247)/1000</f>
        <v>3562.02</v>
      </c>
    </row>
    <row r="248" spans="1:6" ht="12.75" customHeight="1">
      <c r="A248" s="7" t="s">
        <v>368</v>
      </c>
      <c r="B248" s="8" t="s">
        <v>995</v>
      </c>
      <c r="C248" s="9" t="s">
        <v>97</v>
      </c>
      <c r="D248" s="26">
        <v>9900</v>
      </c>
      <c r="E248" s="27">
        <v>7.13</v>
      </c>
      <c r="F248" s="6">
        <f>(D248*E248)/1000</f>
        <v>70.587</v>
      </c>
    </row>
    <row r="249" spans="1:6" ht="12.75" customHeight="1">
      <c r="A249" s="7" t="s">
        <v>369</v>
      </c>
      <c r="B249" s="8" t="s">
        <v>996</v>
      </c>
      <c r="C249" s="9" t="s">
        <v>97</v>
      </c>
      <c r="D249" s="26">
        <v>19800</v>
      </c>
      <c r="E249" s="27">
        <v>15</v>
      </c>
      <c r="F249" s="6">
        <f>(D249*E249)/1000</f>
        <v>297</v>
      </c>
    </row>
    <row r="250" spans="1:6" ht="12.75" customHeight="1">
      <c r="A250" s="7" t="s">
        <v>370</v>
      </c>
      <c r="B250" s="8" t="s">
        <v>299</v>
      </c>
      <c r="C250" s="9" t="s">
        <v>11</v>
      </c>
      <c r="D250" s="26"/>
      <c r="E250" s="27"/>
      <c r="F250" s="6">
        <f>SUM(F251:F252)</f>
        <v>3380.5332000000003</v>
      </c>
    </row>
    <row r="251" spans="1:6" ht="12.75" customHeight="1">
      <c r="A251" s="7" t="s">
        <v>394</v>
      </c>
      <c r="B251" s="8" t="s">
        <v>585</v>
      </c>
      <c r="C251" s="9" t="s">
        <v>97</v>
      </c>
      <c r="D251" s="26">
        <f>SUM(D247:D249)*0.855</f>
        <v>321651</v>
      </c>
      <c r="E251" s="27">
        <v>8.58</v>
      </c>
      <c r="F251" s="6">
        <f>D251*E251/1000</f>
        <v>2759.76558</v>
      </c>
    </row>
    <row r="252" spans="1:6" ht="12.75" customHeight="1">
      <c r="A252" s="7" t="s">
        <v>395</v>
      </c>
      <c r="B252" s="8" t="s">
        <v>662</v>
      </c>
      <c r="C252" s="9" t="s">
        <v>97</v>
      </c>
      <c r="D252" s="26">
        <f>SUM(D247:D249)*0.145</f>
        <v>54548.99999999999</v>
      </c>
      <c r="E252" s="27">
        <v>11.38</v>
      </c>
      <c r="F252" s="6">
        <f>D252*E252/1000</f>
        <v>620.76762</v>
      </c>
    </row>
    <row r="253" spans="1:6" ht="12.75" customHeight="1">
      <c r="A253" s="7" t="s">
        <v>371</v>
      </c>
      <c r="B253" s="8" t="s">
        <v>968</v>
      </c>
      <c r="C253" s="9" t="s">
        <v>11</v>
      </c>
      <c r="D253" s="26">
        <v>1</v>
      </c>
      <c r="E253" s="140">
        <v>34003.97</v>
      </c>
      <c r="F253" s="6">
        <f>D253*E253/1000</f>
        <v>34.00397</v>
      </c>
    </row>
    <row r="254" spans="1:6" ht="12.75" customHeight="1">
      <c r="A254" s="7" t="s">
        <v>396</v>
      </c>
      <c r="B254" s="8" t="s">
        <v>910</v>
      </c>
      <c r="C254" s="9"/>
      <c r="D254" s="26"/>
      <c r="E254" s="27"/>
      <c r="F254" s="6">
        <f>SUM(F255:F257,F258,F261)</f>
        <v>13017.28584</v>
      </c>
    </row>
    <row r="255" spans="1:6" ht="12.75" customHeight="1">
      <c r="A255" s="7" t="s">
        <v>397</v>
      </c>
      <c r="B255" s="8" t="s">
        <v>994</v>
      </c>
      <c r="C255" s="9" t="s">
        <v>97</v>
      </c>
      <c r="D255" s="26">
        <v>594000</v>
      </c>
      <c r="E255" s="27">
        <v>10.28</v>
      </c>
      <c r="F255" s="6">
        <f>(D255*E255)/1000</f>
        <v>6106.32</v>
      </c>
    </row>
    <row r="256" spans="1:6" ht="12.75" customHeight="1">
      <c r="A256" s="7" t="s">
        <v>398</v>
      </c>
      <c r="B256" s="8" t="s">
        <v>997</v>
      </c>
      <c r="C256" s="9" t="s">
        <v>97</v>
      </c>
      <c r="D256" s="26">
        <v>13200</v>
      </c>
      <c r="E256" s="27">
        <v>7.13</v>
      </c>
      <c r="F256" s="6">
        <f>(D256*E256)/1000</f>
        <v>94.116</v>
      </c>
    </row>
    <row r="257" spans="1:6" ht="12.75" customHeight="1">
      <c r="A257" s="7" t="s">
        <v>399</v>
      </c>
      <c r="B257" s="8" t="s">
        <v>996</v>
      </c>
      <c r="C257" s="9" t="s">
        <v>97</v>
      </c>
      <c r="D257" s="26">
        <v>26400</v>
      </c>
      <c r="E257" s="27">
        <v>15</v>
      </c>
      <c r="F257" s="6">
        <f>(D257*E257)/1000</f>
        <v>396</v>
      </c>
    </row>
    <row r="258" spans="1:6" ht="12.75" customHeight="1">
      <c r="A258" s="7" t="s">
        <v>400</v>
      </c>
      <c r="B258" s="8" t="s">
        <v>911</v>
      </c>
      <c r="C258" s="9" t="s">
        <v>11</v>
      </c>
      <c r="D258" s="26"/>
      <c r="E258" s="27"/>
      <c r="F258" s="6">
        <f>SUM(F259:F260)</f>
        <v>6367.68</v>
      </c>
    </row>
    <row r="259" spans="1:6" ht="12.75" customHeight="1">
      <c r="A259" s="7" t="s">
        <v>401</v>
      </c>
      <c r="B259" s="8" t="s">
        <v>300</v>
      </c>
      <c r="C259" s="9" t="s">
        <v>97</v>
      </c>
      <c r="D259" s="26">
        <f>SUM(D255:D257)*0.475</f>
        <v>300960</v>
      </c>
      <c r="E259" s="27">
        <v>8.58</v>
      </c>
      <c r="F259" s="6">
        <f>D259*E259/1000</f>
        <v>2582.2367999999997</v>
      </c>
    </row>
    <row r="260" spans="1:6" ht="12.75" customHeight="1">
      <c r="A260" s="7" t="s">
        <v>402</v>
      </c>
      <c r="B260" s="8" t="s">
        <v>663</v>
      </c>
      <c r="C260" s="9" t="s">
        <v>97</v>
      </c>
      <c r="D260" s="26">
        <f>SUM(D255:D257)*0.525</f>
        <v>332640</v>
      </c>
      <c r="E260" s="27">
        <v>11.38</v>
      </c>
      <c r="F260" s="6">
        <f>D260*E260/1000</f>
        <v>3785.4432</v>
      </c>
    </row>
    <row r="261" spans="1:6" ht="12.75" customHeight="1">
      <c r="A261" s="7" t="s">
        <v>403</v>
      </c>
      <c r="B261" s="8" t="s">
        <v>967</v>
      </c>
      <c r="C261" s="9" t="s">
        <v>11</v>
      </c>
      <c r="D261" s="26">
        <v>1</v>
      </c>
      <c r="E261" s="140">
        <v>53169.84</v>
      </c>
      <c r="F261" s="6">
        <f>D261*E261/1000</f>
        <v>53.16983999999999</v>
      </c>
    </row>
    <row r="262" spans="1:6" ht="12.75" customHeight="1">
      <c r="A262" s="7" t="s">
        <v>116</v>
      </c>
      <c r="B262" s="8" t="s">
        <v>325</v>
      </c>
      <c r="C262" s="5" t="s">
        <v>11</v>
      </c>
      <c r="D262" s="27"/>
      <c r="E262" s="27"/>
      <c r="F262" s="6">
        <f>SUM(F263,F283)</f>
        <v>97877.17150724221</v>
      </c>
    </row>
    <row r="263" spans="1:6" ht="12.75" customHeight="1">
      <c r="A263" s="7" t="s">
        <v>117</v>
      </c>
      <c r="B263" s="8" t="s">
        <v>1001</v>
      </c>
      <c r="C263" s="5" t="s">
        <v>11</v>
      </c>
      <c r="D263" s="26"/>
      <c r="E263" s="27"/>
      <c r="F263" s="6">
        <f>SUM(F264,F269,F276,F281:F282)</f>
        <v>35282.511952656</v>
      </c>
    </row>
    <row r="264" spans="1:6" ht="12.75" customHeight="1">
      <c r="A264" s="7" t="s">
        <v>118</v>
      </c>
      <c r="B264" s="8" t="s">
        <v>291</v>
      </c>
      <c r="C264" s="5" t="s">
        <v>11</v>
      </c>
      <c r="D264" s="26"/>
      <c r="E264" s="27"/>
      <c r="F264" s="6">
        <f>SUM(F265:F268)</f>
        <v>4104.1619064</v>
      </c>
    </row>
    <row r="265" spans="1:6" ht="12.75" customHeight="1">
      <c r="A265" s="7" t="s">
        <v>119</v>
      </c>
      <c r="B265" s="8" t="s">
        <v>96</v>
      </c>
      <c r="C265" s="5" t="s">
        <v>97</v>
      </c>
      <c r="D265" s="26"/>
      <c r="E265" s="27"/>
      <c r="F265" s="6">
        <f>(D265*E265)/1000</f>
        <v>0</v>
      </c>
    </row>
    <row r="266" spans="1:6" ht="12.75" customHeight="1">
      <c r="A266" s="7" t="s">
        <v>120</v>
      </c>
      <c r="B266" s="28" t="s">
        <v>998</v>
      </c>
      <c r="C266" s="5" t="s">
        <v>97</v>
      </c>
      <c r="D266" s="26">
        <v>407393.5</v>
      </c>
      <c r="E266" s="141">
        <v>5.49</v>
      </c>
      <c r="F266" s="6">
        <f>(D266*E266)/1000</f>
        <v>2236.590315</v>
      </c>
    </row>
    <row r="267" spans="1:6" ht="12.75" customHeight="1">
      <c r="A267" s="7" t="s">
        <v>445</v>
      </c>
      <c r="B267" s="8" t="s">
        <v>999</v>
      </c>
      <c r="C267" s="5" t="s">
        <v>97</v>
      </c>
      <c r="D267" s="26">
        <v>85394.22</v>
      </c>
      <c r="E267" s="147">
        <v>21.87</v>
      </c>
      <c r="F267" s="6">
        <f>(D267*E267)/1000</f>
        <v>1867.5715914</v>
      </c>
    </row>
    <row r="268" spans="1:6" ht="12.75" customHeight="1">
      <c r="A268" s="7" t="s">
        <v>446</v>
      </c>
      <c r="B268" s="28" t="s">
        <v>240</v>
      </c>
      <c r="C268" s="5" t="s">
        <v>97</v>
      </c>
      <c r="D268" s="26"/>
      <c r="E268" s="68"/>
      <c r="F268" s="6">
        <f>(D268*E268)/1000</f>
        <v>0</v>
      </c>
    </row>
    <row r="269" spans="1:6" ht="12.75" customHeight="1">
      <c r="A269" s="7" t="s">
        <v>121</v>
      </c>
      <c r="B269" s="8" t="s">
        <v>100</v>
      </c>
      <c r="C269" s="5" t="s">
        <v>123</v>
      </c>
      <c r="D269" s="26"/>
      <c r="E269" s="55"/>
      <c r="F269" s="6">
        <f>SUM(F270,F271,F272,F275)</f>
        <v>11959.55075</v>
      </c>
    </row>
    <row r="270" spans="1:6" ht="12.75" customHeight="1">
      <c r="A270" s="7" t="s">
        <v>590</v>
      </c>
      <c r="B270" s="8" t="s">
        <v>504</v>
      </c>
      <c r="C270" s="9" t="s">
        <v>123</v>
      </c>
      <c r="D270" s="26">
        <v>49725</v>
      </c>
      <c r="E270" s="55">
        <v>46.71</v>
      </c>
      <c r="F270" s="6">
        <f>E270*D270/1000</f>
        <v>2322.65475</v>
      </c>
    </row>
    <row r="271" spans="1:6" ht="12.75" customHeight="1">
      <c r="A271" s="7" t="s">
        <v>591</v>
      </c>
      <c r="B271" s="8" t="s">
        <v>594</v>
      </c>
      <c r="C271" s="9" t="s">
        <v>97</v>
      </c>
      <c r="D271" s="26">
        <v>135200</v>
      </c>
      <c r="E271" s="55">
        <v>18.81</v>
      </c>
      <c r="F271" s="6">
        <f>E271*D271/1000</f>
        <v>2543.112</v>
      </c>
    </row>
    <row r="272" spans="1:6" ht="12.75" customHeight="1">
      <c r="A272" s="7" t="s">
        <v>592</v>
      </c>
      <c r="B272" s="8" t="s">
        <v>505</v>
      </c>
      <c r="C272" s="9" t="s">
        <v>11</v>
      </c>
      <c r="D272" s="26"/>
      <c r="E272" s="55"/>
      <c r="F272" s="6">
        <f>SUM(F273:F274)</f>
        <v>6046.8645</v>
      </c>
    </row>
    <row r="273" spans="1:6" ht="12.75" customHeight="1">
      <c r="A273" s="7" t="s">
        <v>850</v>
      </c>
      <c r="B273" s="8" t="s">
        <v>852</v>
      </c>
      <c r="C273" s="5" t="s">
        <v>97</v>
      </c>
      <c r="D273" s="26">
        <v>15000</v>
      </c>
      <c r="E273" s="55">
        <v>189.26</v>
      </c>
      <c r="F273" s="6">
        <f>E273*D273/1000</f>
        <v>2838.9</v>
      </c>
    </row>
    <row r="274" spans="1:6" ht="12.75" customHeight="1">
      <c r="A274" s="7" t="s">
        <v>851</v>
      </c>
      <c r="B274" s="8" t="s">
        <v>930</v>
      </c>
      <c r="C274" s="5" t="s">
        <v>102</v>
      </c>
      <c r="D274" s="154">
        <v>4050</v>
      </c>
      <c r="E274" s="55">
        <v>792.09</v>
      </c>
      <c r="F274" s="6">
        <f>E274*D274/1000</f>
        <v>3207.9645</v>
      </c>
    </row>
    <row r="275" spans="1:6" ht="12.75" customHeight="1">
      <c r="A275" s="7" t="s">
        <v>593</v>
      </c>
      <c r="B275" s="8" t="s">
        <v>974</v>
      </c>
      <c r="C275" s="9" t="s">
        <v>46</v>
      </c>
      <c r="D275" s="26">
        <v>4675</v>
      </c>
      <c r="E275" s="55">
        <v>223.94</v>
      </c>
      <c r="F275" s="6">
        <f>E275*D275/1000</f>
        <v>1046.9195</v>
      </c>
    </row>
    <row r="276" spans="1:6" ht="12.75" customHeight="1">
      <c r="A276" s="7" t="s">
        <v>122</v>
      </c>
      <c r="B276" s="8" t="s">
        <v>289</v>
      </c>
      <c r="C276" s="5" t="s">
        <v>97</v>
      </c>
      <c r="D276" s="26"/>
      <c r="E276" s="55"/>
      <c r="F276" s="6">
        <f>SUM(F277:F280)</f>
        <v>18434.811279999998</v>
      </c>
    </row>
    <row r="277" spans="1:6" ht="12.75" customHeight="1">
      <c r="A277" s="7" t="s">
        <v>934</v>
      </c>
      <c r="B277" s="8" t="s">
        <v>931</v>
      </c>
      <c r="C277" s="5" t="s">
        <v>97</v>
      </c>
      <c r="D277" s="26">
        <v>639507</v>
      </c>
      <c r="E277" s="141">
        <v>14.54</v>
      </c>
      <c r="F277" s="6">
        <f>(D277*E277)/1000</f>
        <v>9298.431779999999</v>
      </c>
    </row>
    <row r="278" spans="1:6" ht="12.75" customHeight="1">
      <c r="A278" s="7" t="s">
        <v>935</v>
      </c>
      <c r="B278" s="8" t="s">
        <v>1000</v>
      </c>
      <c r="C278" s="5" t="s">
        <v>97</v>
      </c>
      <c r="D278" s="26">
        <v>269450</v>
      </c>
      <c r="E278" s="55">
        <v>13.31</v>
      </c>
      <c r="F278" s="6">
        <f>(D278*E278)/1000</f>
        <v>3586.3795</v>
      </c>
    </row>
    <row r="279" spans="1:6" ht="12.75" customHeight="1">
      <c r="A279" s="7" t="s">
        <v>936</v>
      </c>
      <c r="B279" s="8" t="s">
        <v>932</v>
      </c>
      <c r="C279" s="5" t="s">
        <v>97</v>
      </c>
      <c r="D279" s="26">
        <v>120000</v>
      </c>
      <c r="E279" s="55">
        <v>37.19</v>
      </c>
      <c r="F279" s="6">
        <f>(D279*E279)/1000</f>
        <v>4462.8</v>
      </c>
    </row>
    <row r="280" spans="1:6" ht="12.75" customHeight="1">
      <c r="A280" s="7" t="s">
        <v>937</v>
      </c>
      <c r="B280" s="8" t="s">
        <v>933</v>
      </c>
      <c r="C280" s="5" t="s">
        <v>97</v>
      </c>
      <c r="D280" s="26">
        <v>60000</v>
      </c>
      <c r="E280" s="55">
        <v>18.12</v>
      </c>
      <c r="F280" s="6">
        <f>(D280*E280)/1000</f>
        <v>1087.2</v>
      </c>
    </row>
    <row r="281" spans="1:6" ht="12.75" customHeight="1">
      <c r="A281" s="7" t="s">
        <v>241</v>
      </c>
      <c r="B281" s="8" t="s">
        <v>923</v>
      </c>
      <c r="C281" s="5" t="s">
        <v>11</v>
      </c>
      <c r="D281" s="76">
        <v>0.5</v>
      </c>
      <c r="E281" s="142">
        <f>F276</f>
        <v>18434.811279999998</v>
      </c>
      <c r="F281" s="6">
        <f>D281*E281/100</f>
        <v>92.17405639999998</v>
      </c>
    </row>
    <row r="282" spans="1:6" ht="12.75" customHeight="1">
      <c r="A282" s="7" t="s">
        <v>242</v>
      </c>
      <c r="B282" s="8" t="s">
        <v>924</v>
      </c>
      <c r="C282" s="5" t="s">
        <v>11</v>
      </c>
      <c r="D282" s="26">
        <v>2</v>
      </c>
      <c r="E282" s="27">
        <f>SUM(F264,F269,F276,F281)</f>
        <v>34590.6979928</v>
      </c>
      <c r="F282" s="6">
        <f>D282*E282/100</f>
        <v>691.813959856</v>
      </c>
    </row>
    <row r="283" spans="1:6" ht="12.75" customHeight="1">
      <c r="A283" s="7" t="s">
        <v>243</v>
      </c>
      <c r="B283" s="8" t="s">
        <v>417</v>
      </c>
      <c r="C283" s="9" t="s">
        <v>11</v>
      </c>
      <c r="D283" s="26"/>
      <c r="E283" s="27"/>
      <c r="F283" s="6">
        <f>F284+F304+F323</f>
        <v>62594.65955458621</v>
      </c>
    </row>
    <row r="284" spans="1:6" ht="12.75" customHeight="1">
      <c r="A284" s="7" t="s">
        <v>448</v>
      </c>
      <c r="B284" s="8" t="s">
        <v>1004</v>
      </c>
      <c r="C284" s="9" t="s">
        <v>11</v>
      </c>
      <c r="D284" s="26"/>
      <c r="E284" s="27"/>
      <c r="F284" s="6">
        <f>SUM(F285+F288+F295+F299+F302+F303)</f>
        <v>32038.405415810998</v>
      </c>
    </row>
    <row r="285" spans="1:6" ht="12.75" customHeight="1">
      <c r="A285" s="7" t="s">
        <v>447</v>
      </c>
      <c r="B285" s="8" t="s">
        <v>490</v>
      </c>
      <c r="C285" s="9" t="s">
        <v>11</v>
      </c>
      <c r="D285" s="26"/>
      <c r="E285" s="27"/>
      <c r="F285" s="6">
        <f>SUM(F286:F287)</f>
        <v>0</v>
      </c>
    </row>
    <row r="286" spans="1:6" ht="12.75" customHeight="1">
      <c r="A286" s="7" t="s">
        <v>450</v>
      </c>
      <c r="B286" s="8" t="s">
        <v>96</v>
      </c>
      <c r="C286" s="9" t="s">
        <v>97</v>
      </c>
      <c r="D286" s="91"/>
      <c r="E286" s="55"/>
      <c r="F286" s="6">
        <f>(D286*E286)/1000</f>
        <v>0</v>
      </c>
    </row>
    <row r="287" spans="1:6" ht="12.75" customHeight="1">
      <c r="A287" s="7" t="s">
        <v>451</v>
      </c>
      <c r="B287" s="8" t="s">
        <v>326</v>
      </c>
      <c r="C287" s="9" t="s">
        <v>97</v>
      </c>
      <c r="D287" s="91"/>
      <c r="E287" s="55"/>
      <c r="F287" s="6">
        <f>(D287*E287)/1000</f>
        <v>0</v>
      </c>
    </row>
    <row r="288" spans="1:6" ht="12.75" customHeight="1">
      <c r="A288" s="7" t="s">
        <v>449</v>
      </c>
      <c r="B288" s="8" t="s">
        <v>100</v>
      </c>
      <c r="C288" s="9" t="s">
        <v>11</v>
      </c>
      <c r="D288" s="91"/>
      <c r="E288" s="55"/>
      <c r="F288" s="6">
        <f>SUM(F289:F292)</f>
        <v>3532.1650799999998</v>
      </c>
    </row>
    <row r="289" spans="1:6" ht="12.75" customHeight="1">
      <c r="A289" s="7" t="s">
        <v>587</v>
      </c>
      <c r="B289" s="8" t="s">
        <v>504</v>
      </c>
      <c r="C289" s="9" t="s">
        <v>239</v>
      </c>
      <c r="D289" s="91">
        <v>16455</v>
      </c>
      <c r="E289" s="55">
        <v>46.71</v>
      </c>
      <c r="F289" s="6">
        <f>(D289*E289)/1000</f>
        <v>768.61305</v>
      </c>
    </row>
    <row r="290" spans="1:6" ht="12.75" customHeight="1">
      <c r="A290" s="7" t="s">
        <v>588</v>
      </c>
      <c r="B290" s="8" t="s">
        <v>974</v>
      </c>
      <c r="C290" s="9" t="s">
        <v>46</v>
      </c>
      <c r="D290" s="26">
        <v>3595</v>
      </c>
      <c r="E290" s="55">
        <v>223.94</v>
      </c>
      <c r="F290" s="6">
        <f>E290*D290/1000</f>
        <v>805.0643</v>
      </c>
    </row>
    <row r="291" spans="1:6" ht="12.75" customHeight="1">
      <c r="A291" s="7" t="s">
        <v>589</v>
      </c>
      <c r="B291" s="8" t="s">
        <v>586</v>
      </c>
      <c r="C291" s="9" t="s">
        <v>46</v>
      </c>
      <c r="D291" s="26">
        <v>2730</v>
      </c>
      <c r="E291" s="55">
        <v>111.97</v>
      </c>
      <c r="F291" s="6">
        <f>E291*D291/1000</f>
        <v>305.6781</v>
      </c>
    </row>
    <row r="292" spans="1:6" ht="12.75" customHeight="1">
      <c r="A292" s="7" t="s">
        <v>619</v>
      </c>
      <c r="B292" s="8" t="s">
        <v>601</v>
      </c>
      <c r="C292" s="9" t="s">
        <v>11</v>
      </c>
      <c r="D292" s="26"/>
      <c r="E292" s="55"/>
      <c r="F292" s="6">
        <f>SUM(F293:F294)</f>
        <v>1652.80963</v>
      </c>
    </row>
    <row r="293" spans="1:6" ht="12.75" customHeight="1">
      <c r="A293" s="7" t="s">
        <v>853</v>
      </c>
      <c r="B293" s="8" t="s">
        <v>855</v>
      </c>
      <c r="C293" s="9" t="s">
        <v>97</v>
      </c>
      <c r="D293" s="26">
        <v>4100</v>
      </c>
      <c r="E293" s="55">
        <v>189.26</v>
      </c>
      <c r="F293" s="6">
        <f>(D293*E293)/1000</f>
        <v>775.966</v>
      </c>
    </row>
    <row r="294" spans="1:6" ht="12.75" customHeight="1">
      <c r="A294" s="7" t="s">
        <v>854</v>
      </c>
      <c r="B294" s="8" t="s">
        <v>925</v>
      </c>
      <c r="C294" s="9" t="s">
        <v>102</v>
      </c>
      <c r="D294" s="26">
        <v>1107</v>
      </c>
      <c r="E294" s="55">
        <v>792.09</v>
      </c>
      <c r="F294" s="6">
        <f>(D294*E294)/1000</f>
        <v>876.84363</v>
      </c>
    </row>
    <row r="295" spans="1:6" ht="12.75" customHeight="1">
      <c r="A295" s="7" t="s">
        <v>452</v>
      </c>
      <c r="B295" s="8" t="s">
        <v>284</v>
      </c>
      <c r="C295" s="95" t="s">
        <v>11</v>
      </c>
      <c r="D295" s="26"/>
      <c r="E295" s="27"/>
      <c r="F295" s="6">
        <f>SUM(F296:F298)</f>
        <v>16201.71041</v>
      </c>
    </row>
    <row r="296" spans="1:6" ht="12.75" customHeight="1">
      <c r="A296" s="7" t="s">
        <v>621</v>
      </c>
      <c r="B296" s="8" t="s">
        <v>938</v>
      </c>
      <c r="C296" s="95" t="s">
        <v>102</v>
      </c>
      <c r="D296" s="26">
        <f>0.27*D297</f>
        <v>4509</v>
      </c>
      <c r="E296" s="55">
        <v>792.09</v>
      </c>
      <c r="F296" s="6">
        <f>(D296*E296)/1000</f>
        <v>3571.53381</v>
      </c>
    </row>
    <row r="297" spans="1:6" ht="12.75" customHeight="1">
      <c r="A297" s="7" t="s">
        <v>622</v>
      </c>
      <c r="B297" s="8" t="s">
        <v>624</v>
      </c>
      <c r="C297" s="9" t="s">
        <v>97</v>
      </c>
      <c r="D297" s="26">
        <f>83500*0.2</f>
        <v>16700</v>
      </c>
      <c r="E297" s="55">
        <v>283.06</v>
      </c>
      <c r="F297" s="6">
        <f>(D297*E297)/1000</f>
        <v>4727.102</v>
      </c>
    </row>
    <row r="298" spans="1:6" ht="12.75" customHeight="1">
      <c r="A298" s="7" t="s">
        <v>623</v>
      </c>
      <c r="B298" s="8" t="s">
        <v>625</v>
      </c>
      <c r="C298" s="9" t="s">
        <v>102</v>
      </c>
      <c r="D298" s="26">
        <f>0.06*D297</f>
        <v>1002</v>
      </c>
      <c r="E298" s="55">
        <v>7887.3</v>
      </c>
      <c r="F298" s="6">
        <f>(D298*E298)/1000</f>
        <v>7903.074600000001</v>
      </c>
    </row>
    <row r="299" spans="1:6" ht="12.75" customHeight="1">
      <c r="A299" s="7" t="s">
        <v>620</v>
      </c>
      <c r="B299" s="8" t="s">
        <v>418</v>
      </c>
      <c r="C299" s="9" t="s">
        <v>11</v>
      </c>
      <c r="D299" s="91"/>
      <c r="E299" s="27"/>
      <c r="F299" s="6">
        <f>SUM(F300:F301)</f>
        <v>11537.6292</v>
      </c>
    </row>
    <row r="300" spans="1:6" ht="12.75" customHeight="1">
      <c r="A300" s="7" t="s">
        <v>856</v>
      </c>
      <c r="B300" s="8" t="s">
        <v>858</v>
      </c>
      <c r="C300" s="9" t="s">
        <v>97</v>
      </c>
      <c r="D300" s="91">
        <f>83500*0.8</f>
        <v>66800</v>
      </c>
      <c r="E300" s="27">
        <v>93.51</v>
      </c>
      <c r="F300" s="6">
        <f>(D300*E300)/1000</f>
        <v>6246.468</v>
      </c>
    </row>
    <row r="301" spans="1:6" ht="12.75" customHeight="1">
      <c r="A301" s="7" t="s">
        <v>857</v>
      </c>
      <c r="B301" s="8" t="s">
        <v>938</v>
      </c>
      <c r="C301" s="9" t="s">
        <v>102</v>
      </c>
      <c r="D301" s="91">
        <f>D300*0.1</f>
        <v>6680</v>
      </c>
      <c r="E301" s="55">
        <v>792.09</v>
      </c>
      <c r="F301" s="6">
        <f>(D301*E301)/1000</f>
        <v>5291.1612000000005</v>
      </c>
    </row>
    <row r="302" spans="1:6" ht="12.75" customHeight="1">
      <c r="A302" s="7" t="s">
        <v>453</v>
      </c>
      <c r="B302" s="8" t="s">
        <v>926</v>
      </c>
      <c r="C302" s="9" t="s">
        <v>11</v>
      </c>
      <c r="D302" s="76">
        <v>0.5</v>
      </c>
      <c r="E302" s="141">
        <f>SUM(F295,F299)</f>
        <v>27739.33961</v>
      </c>
      <c r="F302" s="6">
        <f>E302*D302/100</f>
        <v>138.69669805</v>
      </c>
    </row>
    <row r="303" spans="1:6" ht="12.75" customHeight="1">
      <c r="A303" s="7" t="s">
        <v>454</v>
      </c>
      <c r="B303" s="8" t="s">
        <v>927</v>
      </c>
      <c r="C303" s="9" t="s">
        <v>87</v>
      </c>
      <c r="D303" s="26">
        <v>2</v>
      </c>
      <c r="E303" s="27">
        <f>SUM(F288,F295,F299,F302)</f>
        <v>31410.201388049998</v>
      </c>
      <c r="F303" s="6">
        <f>(SUM(F285,F288,F295,F299,F302)*D303/100)</f>
        <v>628.2040277609999</v>
      </c>
    </row>
    <row r="304" spans="1:6" ht="12.75" customHeight="1">
      <c r="A304" s="7" t="s">
        <v>444</v>
      </c>
      <c r="B304" s="8" t="s">
        <v>1002</v>
      </c>
      <c r="C304" s="9" t="s">
        <v>11</v>
      </c>
      <c r="D304" s="26"/>
      <c r="E304" s="27"/>
      <c r="F304" s="6">
        <f>SUM(F305+F308+F314+F318+F321+F322)</f>
        <v>4634.602937359201</v>
      </c>
    </row>
    <row r="305" spans="1:6" ht="12.75" customHeight="1">
      <c r="A305" s="7" t="s">
        <v>456</v>
      </c>
      <c r="B305" s="8" t="s">
        <v>490</v>
      </c>
      <c r="C305" s="9" t="s">
        <v>11</v>
      </c>
      <c r="D305" s="26" t="s">
        <v>288</v>
      </c>
      <c r="E305" s="27"/>
      <c r="F305" s="6">
        <f>SUM(F306:F307)</f>
        <v>0</v>
      </c>
    </row>
    <row r="306" spans="1:6" ht="12.75" customHeight="1">
      <c r="A306" s="7" t="s">
        <v>457</v>
      </c>
      <c r="B306" s="8" t="s">
        <v>96</v>
      </c>
      <c r="C306" s="9" t="s">
        <v>97</v>
      </c>
      <c r="D306" s="91"/>
      <c r="E306" s="55"/>
      <c r="F306" s="6">
        <f>(D306*E306)/1000</f>
        <v>0</v>
      </c>
    </row>
    <row r="307" spans="1:6" ht="12.75" customHeight="1">
      <c r="A307" s="7" t="s">
        <v>458</v>
      </c>
      <c r="B307" s="8" t="s">
        <v>326</v>
      </c>
      <c r="C307" s="9" t="s">
        <v>97</v>
      </c>
      <c r="D307" s="91"/>
      <c r="E307" s="55"/>
      <c r="F307" s="6">
        <f>(D307*E307)/1000</f>
        <v>0</v>
      </c>
    </row>
    <row r="308" spans="1:6" ht="12.75" customHeight="1">
      <c r="A308" s="7" t="s">
        <v>459</v>
      </c>
      <c r="B308" s="8" t="s">
        <v>100</v>
      </c>
      <c r="C308" s="9" t="s">
        <v>11</v>
      </c>
      <c r="D308" s="91"/>
      <c r="E308" s="55"/>
      <c r="F308" s="6">
        <f>SUM(F309:F313)</f>
        <v>860.206197</v>
      </c>
    </row>
    <row r="309" spans="1:6" ht="12.75" customHeight="1">
      <c r="A309" s="7" t="s">
        <v>595</v>
      </c>
      <c r="B309" s="8" t="s">
        <v>504</v>
      </c>
      <c r="C309" s="9" t="s">
        <v>239</v>
      </c>
      <c r="D309" s="91">
        <v>3160</v>
      </c>
      <c r="E309" s="55">
        <v>46.71</v>
      </c>
      <c r="F309" s="6">
        <f>(D309*E309)/1000</f>
        <v>147.6036</v>
      </c>
    </row>
    <row r="310" spans="1:6" ht="12.75" customHeight="1">
      <c r="A310" s="7" t="s">
        <v>596</v>
      </c>
      <c r="B310" s="8" t="s">
        <v>506</v>
      </c>
      <c r="C310" s="9" t="s">
        <v>46</v>
      </c>
      <c r="D310" s="26">
        <v>1220</v>
      </c>
      <c r="E310" s="55">
        <v>223.94</v>
      </c>
      <c r="F310" s="6">
        <f>E310*D310/1000</f>
        <v>273.2068</v>
      </c>
    </row>
    <row r="311" spans="1:6" ht="12.75" customHeight="1">
      <c r="A311" s="7" t="s">
        <v>597</v>
      </c>
      <c r="B311" s="8" t="s">
        <v>586</v>
      </c>
      <c r="C311" s="9" t="s">
        <v>46</v>
      </c>
      <c r="D311" s="26">
        <v>1080</v>
      </c>
      <c r="E311" s="55">
        <v>111.97</v>
      </c>
      <c r="F311" s="6">
        <f>E311*D311/1000</f>
        <v>120.92760000000001</v>
      </c>
    </row>
    <row r="312" spans="1:6" ht="12.75" customHeight="1">
      <c r="A312" s="7" t="s">
        <v>989</v>
      </c>
      <c r="B312" s="8" t="s">
        <v>991</v>
      </c>
      <c r="C312" s="9" t="s">
        <v>46</v>
      </c>
      <c r="D312" s="26">
        <v>213.3</v>
      </c>
      <c r="E312" s="55">
        <v>792.09</v>
      </c>
      <c r="F312" s="6">
        <f>E312*D312/1000</f>
        <v>168.95279700000003</v>
      </c>
    </row>
    <row r="313" spans="1:6" ht="12.75" customHeight="1">
      <c r="A313" s="7" t="s">
        <v>990</v>
      </c>
      <c r="B313" s="8" t="s">
        <v>516</v>
      </c>
      <c r="C313" s="9" t="s">
        <v>46</v>
      </c>
      <c r="D313" s="26">
        <v>790</v>
      </c>
      <c r="E313" s="55">
        <v>189.26</v>
      </c>
      <c r="F313" s="6">
        <f>E313*D313/1000</f>
        <v>149.5154</v>
      </c>
    </row>
    <row r="314" spans="1:6" ht="12.75" customHeight="1">
      <c r="A314" s="7" t="s">
        <v>460</v>
      </c>
      <c r="B314" s="8" t="s">
        <v>284</v>
      </c>
      <c r="C314" s="95" t="s">
        <v>11</v>
      </c>
      <c r="D314" s="26"/>
      <c r="E314" s="27"/>
      <c r="F314" s="6">
        <f>SUM(F315:F317)</f>
        <v>2117.633952</v>
      </c>
    </row>
    <row r="315" spans="1:6" ht="12.75" customHeight="1">
      <c r="A315" s="7" t="s">
        <v>629</v>
      </c>
      <c r="B315" s="8" t="s">
        <v>938</v>
      </c>
      <c r="C315" s="95" t="s">
        <v>102</v>
      </c>
      <c r="D315" s="26">
        <v>604.8</v>
      </c>
      <c r="E315" s="55">
        <v>792.09</v>
      </c>
      <c r="F315" s="6">
        <f>(D315*E315)/1000</f>
        <v>479.056032</v>
      </c>
    </row>
    <row r="316" spans="1:6" ht="12.75" customHeight="1">
      <c r="A316" s="7" t="s">
        <v>630</v>
      </c>
      <c r="B316" s="8" t="s">
        <v>624</v>
      </c>
      <c r="C316" s="9" t="s">
        <v>97</v>
      </c>
      <c r="D316" s="26">
        <v>2240</v>
      </c>
      <c r="E316" s="55">
        <v>258.27</v>
      </c>
      <c r="F316" s="6">
        <f>(D316*E316)/1000</f>
        <v>578.5247999999999</v>
      </c>
    </row>
    <row r="317" spans="1:6" ht="12.75" customHeight="1">
      <c r="A317" s="7" t="s">
        <v>631</v>
      </c>
      <c r="B317" s="8" t="s">
        <v>625</v>
      </c>
      <c r="C317" s="9" t="s">
        <v>102</v>
      </c>
      <c r="D317" s="26">
        <f>0.06*D316</f>
        <v>134.4</v>
      </c>
      <c r="E317" s="55">
        <v>7887.3</v>
      </c>
      <c r="F317" s="6">
        <f>(D317*E317)/1000</f>
        <v>1060.05312</v>
      </c>
    </row>
    <row r="318" spans="1:6" ht="12.75" customHeight="1">
      <c r="A318" s="7" t="s">
        <v>939</v>
      </c>
      <c r="B318" s="8" t="s">
        <v>418</v>
      </c>
      <c r="C318" s="9" t="s">
        <v>11</v>
      </c>
      <c r="D318" s="91"/>
      <c r="E318" s="27"/>
      <c r="F318" s="6">
        <f>SUM(F319:F320)</f>
        <v>1547.5622400000002</v>
      </c>
    </row>
    <row r="319" spans="1:6" ht="12.75" customHeight="1">
      <c r="A319" s="7" t="s">
        <v>940</v>
      </c>
      <c r="B319" s="8" t="s">
        <v>858</v>
      </c>
      <c r="C319" s="9" t="s">
        <v>97</v>
      </c>
      <c r="D319" s="91">
        <f>11200*0.8</f>
        <v>8960</v>
      </c>
      <c r="E319" s="27">
        <v>93.51</v>
      </c>
      <c r="F319" s="6">
        <f>(D319*E319)/1000</f>
        <v>837.8496000000001</v>
      </c>
    </row>
    <row r="320" spans="1:6" ht="12.75" customHeight="1">
      <c r="A320" s="7" t="s">
        <v>941</v>
      </c>
      <c r="B320" s="8" t="s">
        <v>938</v>
      </c>
      <c r="C320" s="9" t="s">
        <v>102</v>
      </c>
      <c r="D320" s="91">
        <f>D319*0.1</f>
        <v>896</v>
      </c>
      <c r="E320" s="55">
        <v>792.09</v>
      </c>
      <c r="F320" s="6">
        <f>(D320*E320)/1000</f>
        <v>709.71264</v>
      </c>
    </row>
    <row r="321" spans="1:6" ht="12.75" customHeight="1">
      <c r="A321" s="7" t="s">
        <v>461</v>
      </c>
      <c r="B321" s="8" t="s">
        <v>969</v>
      </c>
      <c r="C321" s="9" t="s">
        <v>11</v>
      </c>
      <c r="D321" s="76">
        <v>0.5</v>
      </c>
      <c r="E321" s="141">
        <f>SUM(F314,F318)</f>
        <v>3665.1961920000003</v>
      </c>
      <c r="F321" s="6">
        <f>E321*D321/100</f>
        <v>18.325980960000003</v>
      </c>
    </row>
    <row r="322" spans="1:6" ht="12.75" customHeight="1">
      <c r="A322" s="7" t="s">
        <v>462</v>
      </c>
      <c r="B322" s="8" t="s">
        <v>970</v>
      </c>
      <c r="C322" s="9" t="s">
        <v>87</v>
      </c>
      <c r="D322" s="26">
        <v>2</v>
      </c>
      <c r="E322" s="27">
        <f>SUM(F308,F314,F318,F321)</f>
        <v>4543.728369960001</v>
      </c>
      <c r="F322" s="6">
        <f>(E322*D322/100)</f>
        <v>90.87456739920002</v>
      </c>
    </row>
    <row r="323" spans="1:6" ht="12.75" customHeight="1">
      <c r="A323" s="7" t="s">
        <v>244</v>
      </c>
      <c r="B323" s="8" t="s">
        <v>1003</v>
      </c>
      <c r="C323" s="9" t="s">
        <v>11</v>
      </c>
      <c r="D323" s="26"/>
      <c r="E323" s="27"/>
      <c r="F323" s="6">
        <f>SUM(F324+F328+F331+F335+F338+F339)</f>
        <v>25921.651201416007</v>
      </c>
    </row>
    <row r="324" spans="1:6" ht="12.75" customHeight="1">
      <c r="A324" s="7" t="s">
        <v>463</v>
      </c>
      <c r="B324" s="8" t="s">
        <v>490</v>
      </c>
      <c r="C324" s="9" t="s">
        <v>11</v>
      </c>
      <c r="D324" s="26" t="s">
        <v>288</v>
      </c>
      <c r="E324" s="27"/>
      <c r="F324" s="6">
        <f>SUM(F325:F326)</f>
        <v>0</v>
      </c>
    </row>
    <row r="325" spans="1:6" ht="12.75" customHeight="1">
      <c r="A325" s="7" t="s">
        <v>464</v>
      </c>
      <c r="B325" s="8" t="s">
        <v>96</v>
      </c>
      <c r="C325" s="9" t="s">
        <v>97</v>
      </c>
      <c r="D325" s="91"/>
      <c r="E325" s="55"/>
      <c r="F325" s="6">
        <f>(D325*E325)/1000</f>
        <v>0</v>
      </c>
    </row>
    <row r="326" spans="1:6" ht="12.75" customHeight="1">
      <c r="A326" s="7" t="s">
        <v>465</v>
      </c>
      <c r="B326" s="8" t="s">
        <v>326</v>
      </c>
      <c r="C326" s="9" t="s">
        <v>97</v>
      </c>
      <c r="D326" s="91"/>
      <c r="E326" s="55"/>
      <c r="F326" s="6">
        <f>(D326*E326)/1000</f>
        <v>0</v>
      </c>
    </row>
    <row r="327" spans="1:6" ht="12.75" customHeight="1">
      <c r="A327" s="7" t="s">
        <v>466</v>
      </c>
      <c r="B327" s="8" t="s">
        <v>100</v>
      </c>
      <c r="C327" s="9" t="s">
        <v>992</v>
      </c>
      <c r="D327" s="91"/>
      <c r="E327" s="55"/>
      <c r="F327" s="6">
        <f>SUM(F328:F330)</f>
        <v>1321.052932</v>
      </c>
    </row>
    <row r="328" spans="1:6" ht="12.75" customHeight="1">
      <c r="A328" s="7" t="s">
        <v>466</v>
      </c>
      <c r="B328" s="8" t="s">
        <v>504</v>
      </c>
      <c r="C328" s="9" t="s">
        <v>239</v>
      </c>
      <c r="D328" s="91">
        <v>8950</v>
      </c>
      <c r="E328" s="55">
        <v>46.71</v>
      </c>
      <c r="F328" s="6">
        <f>(D328*E328)/1000</f>
        <v>418.0545</v>
      </c>
    </row>
    <row r="329" spans="1:6" ht="12.75" customHeight="1">
      <c r="A329" s="7" t="s">
        <v>989</v>
      </c>
      <c r="B329" s="8" t="s">
        <v>991</v>
      </c>
      <c r="C329" s="9" t="s">
        <v>46</v>
      </c>
      <c r="D329" s="26">
        <v>604.8</v>
      </c>
      <c r="E329" s="55">
        <v>792.09</v>
      </c>
      <c r="F329" s="6">
        <f>E329*D329/1000</f>
        <v>479.056032</v>
      </c>
    </row>
    <row r="330" spans="1:6" ht="12.75" customHeight="1">
      <c r="A330" s="7" t="s">
        <v>990</v>
      </c>
      <c r="B330" s="8" t="s">
        <v>516</v>
      </c>
      <c r="C330" s="9" t="s">
        <v>46</v>
      </c>
      <c r="D330" s="26">
        <v>2240</v>
      </c>
      <c r="E330" s="55">
        <v>189.26</v>
      </c>
      <c r="F330" s="6">
        <f>E330*D330/1000</f>
        <v>423.94239999999996</v>
      </c>
    </row>
    <row r="331" spans="1:6" ht="12.75" customHeight="1">
      <c r="A331" s="7" t="s">
        <v>467</v>
      </c>
      <c r="B331" s="8" t="s">
        <v>284</v>
      </c>
      <c r="C331" s="95" t="s">
        <v>11</v>
      </c>
      <c r="D331" s="26"/>
      <c r="E331" s="27"/>
      <c r="F331" s="6">
        <f>SUM(F332:F334)</f>
        <v>14369.65896</v>
      </c>
    </row>
    <row r="332" spans="1:6" ht="12.75" customHeight="1">
      <c r="A332" s="7" t="s">
        <v>626</v>
      </c>
      <c r="B332" s="8" t="s">
        <v>938</v>
      </c>
      <c r="C332" s="95" t="s">
        <v>102</v>
      </c>
      <c r="D332" s="26">
        <v>4104</v>
      </c>
      <c r="E332" s="55">
        <v>792.09</v>
      </c>
      <c r="F332" s="6">
        <f>(D332*E332)/1000</f>
        <v>3250.7373600000005</v>
      </c>
    </row>
    <row r="333" spans="1:6" ht="12.75" customHeight="1">
      <c r="A333" s="7" t="s">
        <v>627</v>
      </c>
      <c r="B333" s="8" t="s">
        <v>624</v>
      </c>
      <c r="C333" s="9" t="s">
        <v>97</v>
      </c>
      <c r="D333" s="26">
        <f>76000*0.2</f>
        <v>15200</v>
      </c>
      <c r="E333" s="55">
        <v>258.27</v>
      </c>
      <c r="F333" s="6">
        <f>(D333*E333)/1000</f>
        <v>3925.7039999999997</v>
      </c>
    </row>
    <row r="334" spans="1:6" ht="12.75" customHeight="1">
      <c r="A334" s="7" t="s">
        <v>628</v>
      </c>
      <c r="B334" s="8" t="s">
        <v>625</v>
      </c>
      <c r="C334" s="9" t="s">
        <v>102</v>
      </c>
      <c r="D334" s="26">
        <f>0.06*D333</f>
        <v>912</v>
      </c>
      <c r="E334" s="55">
        <v>7887.3</v>
      </c>
      <c r="F334" s="6">
        <f>(D334*E334)/1000</f>
        <v>7193.217600000001</v>
      </c>
    </row>
    <row r="335" spans="1:9" ht="12.75" customHeight="1">
      <c r="A335" s="7" t="s">
        <v>859</v>
      </c>
      <c r="B335" s="8" t="s">
        <v>418</v>
      </c>
      <c r="C335" s="9" t="s">
        <v>11</v>
      </c>
      <c r="D335" s="91"/>
      <c r="E335" s="27"/>
      <c r="F335" s="6">
        <f>SUM(F336:F337)</f>
        <v>10501.315200000001</v>
      </c>
      <c r="I335" s="12"/>
    </row>
    <row r="336" spans="1:9" ht="12.75" customHeight="1">
      <c r="A336" s="7" t="s">
        <v>860</v>
      </c>
      <c r="B336" s="8" t="s">
        <v>858</v>
      </c>
      <c r="C336" s="9" t="s">
        <v>97</v>
      </c>
      <c r="D336" s="91">
        <f>76000*0.8</f>
        <v>60800</v>
      </c>
      <c r="E336" s="27">
        <v>93.51</v>
      </c>
      <c r="F336" s="6">
        <f>(D336*E336)/1000</f>
        <v>5685.408</v>
      </c>
      <c r="I336" s="12"/>
    </row>
    <row r="337" spans="1:9" ht="12.75" customHeight="1">
      <c r="A337" s="7" t="s">
        <v>861</v>
      </c>
      <c r="B337" s="8" t="s">
        <v>925</v>
      </c>
      <c r="C337" s="9" t="s">
        <v>102</v>
      </c>
      <c r="D337" s="91">
        <f>D336*0.1</f>
        <v>6080</v>
      </c>
      <c r="E337" s="55">
        <v>792.09</v>
      </c>
      <c r="F337" s="6">
        <f>(D337*E337)/1000</f>
        <v>4815.907200000001</v>
      </c>
      <c r="I337" s="12"/>
    </row>
    <row r="338" spans="1:6" ht="12.75" customHeight="1">
      <c r="A338" s="7" t="s">
        <v>468</v>
      </c>
      <c r="B338" s="8" t="s">
        <v>926</v>
      </c>
      <c r="C338" s="9" t="s">
        <v>11</v>
      </c>
      <c r="D338" s="76">
        <v>0.5</v>
      </c>
      <c r="E338" s="141">
        <f>SUM(F331,F335)</f>
        <v>24870.97416</v>
      </c>
      <c r="F338" s="6">
        <f>E338*D338/100</f>
        <v>124.35487080000001</v>
      </c>
    </row>
    <row r="339" spans="1:6" ht="12.75" customHeight="1">
      <c r="A339" s="7" t="s">
        <v>469</v>
      </c>
      <c r="B339" s="8" t="s">
        <v>927</v>
      </c>
      <c r="C339" s="9" t="s">
        <v>87</v>
      </c>
      <c r="D339" s="26">
        <v>2</v>
      </c>
      <c r="E339" s="27">
        <f>SUM(F328,F331,F335,F338)</f>
        <v>25413.383530800005</v>
      </c>
      <c r="F339" s="6">
        <f>E339*D339/100</f>
        <v>508.2676706160001</v>
      </c>
    </row>
    <row r="340" spans="1:9" ht="12.75" customHeight="1">
      <c r="A340" s="7" t="s">
        <v>125</v>
      </c>
      <c r="B340" s="8" t="s">
        <v>316</v>
      </c>
      <c r="C340" s="5" t="s">
        <v>11</v>
      </c>
      <c r="D340" s="26"/>
      <c r="E340" s="27"/>
      <c r="F340" s="6">
        <f>SUM(F341,F387,F402)</f>
        <v>1290674.05182602</v>
      </c>
      <c r="I340" s="92"/>
    </row>
    <row r="341" spans="1:9" ht="12.75" customHeight="1">
      <c r="A341" s="7" t="s">
        <v>126</v>
      </c>
      <c r="B341" s="8" t="s">
        <v>1005</v>
      </c>
      <c r="C341" s="5" t="s">
        <v>11</v>
      </c>
      <c r="D341" s="26"/>
      <c r="E341" s="27"/>
      <c r="F341" s="6">
        <f>SUM(F342,F346,F353,F357,F385,F386)</f>
        <v>720437.1385415001</v>
      </c>
      <c r="I341" s="92"/>
    </row>
    <row r="342" spans="1:6" ht="12.75" customHeight="1">
      <c r="A342" s="7" t="s">
        <v>127</v>
      </c>
      <c r="B342" s="8" t="s">
        <v>94</v>
      </c>
      <c r="C342" s="5" t="s">
        <v>11</v>
      </c>
      <c r="D342" s="26"/>
      <c r="E342" s="27"/>
      <c r="F342" s="6">
        <f>SUM(F343:F345)</f>
        <v>23217.49865</v>
      </c>
    </row>
    <row r="343" spans="1:6" ht="12.75" customHeight="1">
      <c r="A343" s="7" t="s">
        <v>128</v>
      </c>
      <c r="B343" s="8" t="s">
        <v>96</v>
      </c>
      <c r="C343" s="9" t="s">
        <v>97</v>
      </c>
      <c r="D343" s="26">
        <v>256730</v>
      </c>
      <c r="E343" s="55">
        <v>9.24</v>
      </c>
      <c r="F343" s="6">
        <f>(D343*E343)/1000</f>
        <v>2372.1852000000003</v>
      </c>
    </row>
    <row r="344" spans="1:6" ht="12.75" customHeight="1">
      <c r="A344" s="7" t="s">
        <v>129</v>
      </c>
      <c r="B344" s="8" t="s">
        <v>326</v>
      </c>
      <c r="C344" s="9" t="s">
        <v>97</v>
      </c>
      <c r="D344" s="26">
        <f>883625-D345</f>
        <v>726067</v>
      </c>
      <c r="E344" s="55">
        <v>21.87</v>
      </c>
      <c r="F344" s="6">
        <f>(D344*E344)/1000</f>
        <v>15879.08529</v>
      </c>
    </row>
    <row r="345" spans="1:6" ht="12.75" customHeight="1">
      <c r="A345" s="7" t="s">
        <v>604</v>
      </c>
      <c r="B345" s="8" t="s">
        <v>603</v>
      </c>
      <c r="C345" s="9" t="s">
        <v>97</v>
      </c>
      <c r="D345" s="26">
        <v>157558</v>
      </c>
      <c r="E345" s="55">
        <v>31.52</v>
      </c>
      <c r="F345" s="6">
        <f>(D345*E345)/1000</f>
        <v>4966.228160000001</v>
      </c>
    </row>
    <row r="346" spans="1:6" ht="12.75" customHeight="1">
      <c r="A346" s="7" t="s">
        <v>130</v>
      </c>
      <c r="B346" s="8" t="s">
        <v>100</v>
      </c>
      <c r="C346" s="9" t="s">
        <v>239</v>
      </c>
      <c r="D346" s="26"/>
      <c r="E346" s="55"/>
      <c r="F346" s="6">
        <f>SUM(F347:F350)</f>
        <v>5514.687233500001</v>
      </c>
    </row>
    <row r="347" spans="1:6" ht="12.75" customHeight="1">
      <c r="A347" s="7" t="s">
        <v>605</v>
      </c>
      <c r="B347" s="8" t="s">
        <v>504</v>
      </c>
      <c r="C347" s="9" t="s">
        <v>123</v>
      </c>
      <c r="D347" s="26">
        <v>33385</v>
      </c>
      <c r="E347" s="55">
        <v>46.71</v>
      </c>
      <c r="F347" s="6">
        <f>(D347*E347)/1000</f>
        <v>1559.41335</v>
      </c>
    </row>
    <row r="348" spans="1:6" ht="12.75" customHeight="1">
      <c r="A348" s="7" t="s">
        <v>606</v>
      </c>
      <c r="B348" s="8" t="s">
        <v>974</v>
      </c>
      <c r="C348" s="9" t="s">
        <v>46</v>
      </c>
      <c r="D348" s="26">
        <v>1825</v>
      </c>
      <c r="E348" s="55">
        <v>223.94</v>
      </c>
      <c r="F348" s="6">
        <f>(D348*E348)/1000</f>
        <v>408.6905</v>
      </c>
    </row>
    <row r="349" spans="1:6" ht="12.75" customHeight="1">
      <c r="A349" s="7" t="s">
        <v>607</v>
      </c>
      <c r="B349" s="8" t="s">
        <v>586</v>
      </c>
      <c r="C349" s="9" t="s">
        <v>46</v>
      </c>
      <c r="D349" s="26">
        <v>1630</v>
      </c>
      <c r="E349" s="55">
        <v>111.97</v>
      </c>
      <c r="F349" s="6">
        <f>(D349*E349)/1000</f>
        <v>182.5111</v>
      </c>
    </row>
    <row r="350" spans="1:6" ht="12.75" customHeight="1">
      <c r="A350" s="7" t="s">
        <v>608</v>
      </c>
      <c r="B350" s="8" t="s">
        <v>516</v>
      </c>
      <c r="C350" s="9" t="s">
        <v>11</v>
      </c>
      <c r="D350" s="26"/>
      <c r="E350" s="55"/>
      <c r="F350" s="6">
        <f>SUM(F351:F352)</f>
        <v>3364.0722835</v>
      </c>
    </row>
    <row r="351" spans="1:6" ht="12.75" customHeight="1">
      <c r="A351" s="7" t="s">
        <v>862</v>
      </c>
      <c r="B351" s="8" t="s">
        <v>864</v>
      </c>
      <c r="C351" s="9" t="s">
        <v>97</v>
      </c>
      <c r="D351" s="26">
        <v>8345</v>
      </c>
      <c r="E351" s="55">
        <v>189.26</v>
      </c>
      <c r="F351" s="6">
        <f>(D351*E351)/1000</f>
        <v>1579.3746999999998</v>
      </c>
    </row>
    <row r="352" spans="1:6" ht="12.75" customHeight="1">
      <c r="A352" s="7" t="s">
        <v>863</v>
      </c>
      <c r="B352" s="8" t="s">
        <v>925</v>
      </c>
      <c r="C352" s="9" t="s">
        <v>102</v>
      </c>
      <c r="D352" s="26">
        <v>2253.15</v>
      </c>
      <c r="E352" s="55">
        <v>792.09</v>
      </c>
      <c r="F352" s="6">
        <f>(D352*E352)/1000</f>
        <v>1784.6975835000003</v>
      </c>
    </row>
    <row r="353" spans="1:6" ht="12.75" customHeight="1">
      <c r="A353" s="7" t="s">
        <v>246</v>
      </c>
      <c r="B353" s="8" t="s">
        <v>284</v>
      </c>
      <c r="C353" s="5" t="s">
        <v>11</v>
      </c>
      <c r="D353" s="26"/>
      <c r="E353" s="27"/>
      <c r="F353" s="6">
        <f>SUM(F354:F356)</f>
        <v>580598.522658</v>
      </c>
    </row>
    <row r="354" spans="1:6" ht="12.75" customHeight="1">
      <c r="A354" s="7" t="s">
        <v>247</v>
      </c>
      <c r="B354" s="8" t="s">
        <v>624</v>
      </c>
      <c r="C354" s="9" t="s">
        <v>97</v>
      </c>
      <c r="D354" s="26">
        <v>614460</v>
      </c>
      <c r="E354" s="55">
        <v>257.79</v>
      </c>
      <c r="F354" s="6">
        <f>(D354*E354)/1000</f>
        <v>158401.6434</v>
      </c>
    </row>
    <row r="355" spans="1:6" ht="12.75" customHeight="1">
      <c r="A355" s="7" t="s">
        <v>248</v>
      </c>
      <c r="B355" s="8" t="s">
        <v>938</v>
      </c>
      <c r="C355" s="9" t="s">
        <v>102</v>
      </c>
      <c r="D355" s="26">
        <f>0.27*D354</f>
        <v>165904.2</v>
      </c>
      <c r="E355" s="55">
        <v>792.09</v>
      </c>
      <c r="F355" s="6">
        <f>(D355*E355)/1000</f>
        <v>131411.05777800002</v>
      </c>
    </row>
    <row r="356" spans="1:6" ht="12.75" customHeight="1">
      <c r="A356" s="7" t="s">
        <v>249</v>
      </c>
      <c r="B356" s="8" t="s">
        <v>625</v>
      </c>
      <c r="C356" s="9" t="s">
        <v>102</v>
      </c>
      <c r="D356" s="26">
        <f>0.06*D354</f>
        <v>36867.6</v>
      </c>
      <c r="E356" s="55">
        <v>7887.3</v>
      </c>
      <c r="F356" s="6">
        <f>(D356*E356)/1000</f>
        <v>290785.82148000004</v>
      </c>
    </row>
    <row r="357" spans="1:6" ht="12.75" customHeight="1">
      <c r="A357" s="7" t="s">
        <v>250</v>
      </c>
      <c r="B357" s="4" t="s">
        <v>111</v>
      </c>
      <c r="C357" s="5" t="s">
        <v>11</v>
      </c>
      <c r="D357" s="26"/>
      <c r="E357" s="27"/>
      <c r="F357" s="6">
        <f>SUM(F358,F362,F378,F382:F384)</f>
        <v>111106.43</v>
      </c>
    </row>
    <row r="358" spans="1:6" ht="12.75" customHeight="1">
      <c r="A358" s="7" t="s">
        <v>251</v>
      </c>
      <c r="B358" s="8" t="s">
        <v>912</v>
      </c>
      <c r="C358" s="5" t="s">
        <v>113</v>
      </c>
      <c r="D358" s="26"/>
      <c r="E358" s="27"/>
      <c r="F358" s="6">
        <f>SUM(F359:F361)</f>
        <v>79296</v>
      </c>
    </row>
    <row r="359" spans="1:8" ht="12.75" customHeight="1">
      <c r="A359" s="7" t="s">
        <v>252</v>
      </c>
      <c r="B359" s="8" t="s">
        <v>112</v>
      </c>
      <c r="C359" s="9" t="s">
        <v>113</v>
      </c>
      <c r="D359" s="26">
        <v>21</v>
      </c>
      <c r="E359" s="27">
        <v>3200000</v>
      </c>
      <c r="F359" s="6">
        <f>D359*E359/1000</f>
        <v>67200</v>
      </c>
      <c r="H359" s="118"/>
    </row>
    <row r="360" spans="1:8" ht="12.75" customHeight="1">
      <c r="A360" s="7" t="s">
        <v>253</v>
      </c>
      <c r="B360" s="8" t="s">
        <v>114</v>
      </c>
      <c r="C360" s="9" t="s">
        <v>11</v>
      </c>
      <c r="D360" s="26"/>
      <c r="E360" s="27"/>
      <c r="F360" s="6">
        <f>F359*0.08</f>
        <v>5376</v>
      </c>
      <c r="H360" s="109"/>
    </row>
    <row r="361" spans="1:6" ht="12.75" customHeight="1">
      <c r="A361" s="7" t="s">
        <v>254</v>
      </c>
      <c r="B361" s="8" t="s">
        <v>115</v>
      </c>
      <c r="C361" s="9" t="s">
        <v>11</v>
      </c>
      <c r="D361" s="26"/>
      <c r="E361" s="27"/>
      <c r="F361" s="6">
        <f>F359*0.1</f>
        <v>6720</v>
      </c>
    </row>
    <row r="362" spans="1:6" ht="12.75" customHeight="1">
      <c r="A362" s="7" t="s">
        <v>255</v>
      </c>
      <c r="B362" s="75" t="s">
        <v>865</v>
      </c>
      <c r="C362" s="5" t="s">
        <v>11</v>
      </c>
      <c r="D362" s="26"/>
      <c r="E362" s="27"/>
      <c r="F362" s="6">
        <f>F363+F368+F373</f>
        <v>21555</v>
      </c>
    </row>
    <row r="363" spans="1:6" ht="12.75" customHeight="1">
      <c r="A363" s="7" t="s">
        <v>376</v>
      </c>
      <c r="B363" s="75" t="s">
        <v>377</v>
      </c>
      <c r="C363" s="5" t="s">
        <v>11</v>
      </c>
      <c r="D363" s="26"/>
      <c r="E363" s="96"/>
      <c r="F363" s="6">
        <f>SUM(F364:F367)</f>
        <v>14570</v>
      </c>
    </row>
    <row r="364" spans="1:8" ht="12.75" customHeight="1">
      <c r="A364" s="7" t="s">
        <v>381</v>
      </c>
      <c r="B364" s="8" t="s">
        <v>378</v>
      </c>
      <c r="C364" s="9" t="s">
        <v>113</v>
      </c>
      <c r="D364" s="108">
        <v>5</v>
      </c>
      <c r="E364" s="73">
        <v>2300000</v>
      </c>
      <c r="F364" s="72">
        <f>D364*E364/1000</f>
        <v>11500</v>
      </c>
      <c r="H364" s="12"/>
    </row>
    <row r="365" spans="1:8" ht="12.75" customHeight="1">
      <c r="A365" s="7" t="s">
        <v>382</v>
      </c>
      <c r="B365" s="8" t="s">
        <v>379</v>
      </c>
      <c r="C365" s="9" t="s">
        <v>11</v>
      </c>
      <c r="D365" s="26"/>
      <c r="E365" s="27"/>
      <c r="F365" s="6">
        <f>F364*0.08</f>
        <v>920</v>
      </c>
      <c r="H365" s="12"/>
    </row>
    <row r="366" spans="1:6" ht="12.75" customHeight="1">
      <c r="A366" s="7" t="s">
        <v>383</v>
      </c>
      <c r="B366" s="8" t="s">
        <v>380</v>
      </c>
      <c r="C366" s="9" t="s">
        <v>11</v>
      </c>
      <c r="D366" s="26"/>
      <c r="E366" s="27"/>
      <c r="F366" s="6">
        <f>F364*0.1</f>
        <v>1150</v>
      </c>
    </row>
    <row r="367" spans="1:6" ht="12.75" customHeight="1">
      <c r="A367" s="7" t="s">
        <v>419</v>
      </c>
      <c r="B367" s="8" t="s">
        <v>420</v>
      </c>
      <c r="C367" s="9" t="s">
        <v>113</v>
      </c>
      <c r="D367" s="26">
        <v>10</v>
      </c>
      <c r="E367" s="27">
        <v>100000</v>
      </c>
      <c r="F367" s="6">
        <f>D367*E367/1000</f>
        <v>1000</v>
      </c>
    </row>
    <row r="368" spans="1:6" ht="12.75" customHeight="1">
      <c r="A368" s="7" t="s">
        <v>384</v>
      </c>
      <c r="B368" s="75" t="s">
        <v>866</v>
      </c>
      <c r="C368" s="9" t="s">
        <v>11</v>
      </c>
      <c r="D368" s="26"/>
      <c r="E368" s="27"/>
      <c r="F368" s="6">
        <f>SUM(F369:F372)</f>
        <v>4885</v>
      </c>
    </row>
    <row r="369" spans="1:6" ht="12.75" customHeight="1">
      <c r="A369" s="7" t="s">
        <v>385</v>
      </c>
      <c r="B369" s="8" t="s">
        <v>378</v>
      </c>
      <c r="C369" s="9" t="s">
        <v>113</v>
      </c>
      <c r="D369" s="108">
        <v>5</v>
      </c>
      <c r="E369" s="99">
        <v>650000</v>
      </c>
      <c r="F369" s="97">
        <f>D369*E369/1000</f>
        <v>3250</v>
      </c>
    </row>
    <row r="370" spans="1:6" ht="12.75" customHeight="1">
      <c r="A370" s="7" t="s">
        <v>386</v>
      </c>
      <c r="B370" s="8" t="s">
        <v>379</v>
      </c>
      <c r="C370" s="9" t="s">
        <v>11</v>
      </c>
      <c r="D370" s="26"/>
      <c r="E370" s="27"/>
      <c r="F370" s="6">
        <f>F369*0.08</f>
        <v>260</v>
      </c>
    </row>
    <row r="371" spans="1:6" ht="12.75" customHeight="1">
      <c r="A371" s="7" t="s">
        <v>387</v>
      </c>
      <c r="B371" s="8" t="s">
        <v>380</v>
      </c>
      <c r="C371" s="9" t="s">
        <v>11</v>
      </c>
      <c r="D371" s="26"/>
      <c r="E371" s="27"/>
      <c r="F371" s="6">
        <f>F369*0.1</f>
        <v>325</v>
      </c>
    </row>
    <row r="372" spans="1:6" ht="12.75" customHeight="1">
      <c r="A372" s="7" t="s">
        <v>421</v>
      </c>
      <c r="B372" s="8" t="s">
        <v>420</v>
      </c>
      <c r="C372" s="9" t="s">
        <v>113</v>
      </c>
      <c r="D372" s="26">
        <v>21</v>
      </c>
      <c r="E372" s="27">
        <v>50000</v>
      </c>
      <c r="F372" s="6">
        <f>E372*D372/1000</f>
        <v>1050</v>
      </c>
    </row>
    <row r="373" spans="1:6" ht="12.75" customHeight="1">
      <c r="A373" s="7" t="s">
        <v>867</v>
      </c>
      <c r="B373" s="75" t="s">
        <v>868</v>
      </c>
      <c r="C373" s="9" t="s">
        <v>11</v>
      </c>
      <c r="D373" s="26"/>
      <c r="E373" s="27"/>
      <c r="F373" s="6">
        <f>SUM(F374:F377)</f>
        <v>2100</v>
      </c>
    </row>
    <row r="374" spans="1:6" ht="12.75" customHeight="1">
      <c r="A374" s="7" t="s">
        <v>869</v>
      </c>
      <c r="B374" s="8" t="s">
        <v>378</v>
      </c>
      <c r="C374" s="9" t="s">
        <v>113</v>
      </c>
      <c r="D374" s="108"/>
      <c r="E374" s="73"/>
      <c r="F374" s="72">
        <f>D374*E374/1000</f>
        <v>0</v>
      </c>
    </row>
    <row r="375" spans="1:6" ht="12.75" customHeight="1">
      <c r="A375" s="7" t="s">
        <v>870</v>
      </c>
      <c r="B375" s="8" t="s">
        <v>379</v>
      </c>
      <c r="C375" s="9" t="s">
        <v>11</v>
      </c>
      <c r="D375" s="26"/>
      <c r="E375" s="27"/>
      <c r="F375" s="6">
        <f>0.071*F374</f>
        <v>0</v>
      </c>
    </row>
    <row r="376" spans="1:6" ht="12.75" customHeight="1">
      <c r="A376" s="7" t="s">
        <v>871</v>
      </c>
      <c r="B376" s="8" t="s">
        <v>380</v>
      </c>
      <c r="C376" s="9" t="s">
        <v>11</v>
      </c>
      <c r="D376" s="26"/>
      <c r="E376" s="27"/>
      <c r="F376" s="6">
        <v>0</v>
      </c>
    </row>
    <row r="377" spans="1:6" ht="12.75" customHeight="1">
      <c r="A377" s="7" t="s">
        <v>872</v>
      </c>
      <c r="B377" s="8" t="s">
        <v>420</v>
      </c>
      <c r="C377" s="9" t="s">
        <v>113</v>
      </c>
      <c r="D377" s="26">
        <v>21</v>
      </c>
      <c r="E377" s="27">
        <v>100000</v>
      </c>
      <c r="F377" s="6">
        <f>D377*E377/1000</f>
        <v>2100</v>
      </c>
    </row>
    <row r="378" spans="1:6" ht="12.75" customHeight="1">
      <c r="A378" s="7" t="s">
        <v>256</v>
      </c>
      <c r="B378" s="8" t="s">
        <v>873</v>
      </c>
      <c r="C378" s="5" t="s">
        <v>113</v>
      </c>
      <c r="D378" s="26"/>
      <c r="E378" s="27"/>
      <c r="F378" s="6">
        <f>SUM(F379:F381)</f>
        <v>1122.4</v>
      </c>
    </row>
    <row r="379" spans="1:6" ht="12.75" customHeight="1">
      <c r="A379" s="7" t="s">
        <v>257</v>
      </c>
      <c r="B379" s="8" t="s">
        <v>112</v>
      </c>
      <c r="C379" s="9" t="s">
        <v>113</v>
      </c>
      <c r="D379" s="26">
        <v>1</v>
      </c>
      <c r="E379" s="73">
        <v>920000</v>
      </c>
      <c r="F379" s="6">
        <f>(D379*E379)/1000</f>
        <v>920</v>
      </c>
    </row>
    <row r="380" spans="1:11" ht="12.75" customHeight="1">
      <c r="A380" s="7" t="s">
        <v>258</v>
      </c>
      <c r="B380" s="8" t="s">
        <v>114</v>
      </c>
      <c r="C380" s="9" t="s">
        <v>11</v>
      </c>
      <c r="D380" s="26"/>
      <c r="E380" s="27"/>
      <c r="F380" s="6">
        <f>F379*0.1</f>
        <v>92</v>
      </c>
      <c r="K380" s="74"/>
    </row>
    <row r="381" spans="1:6" ht="12.75" customHeight="1">
      <c r="A381" s="7" t="s">
        <v>259</v>
      </c>
      <c r="B381" s="8" t="s">
        <v>115</v>
      </c>
      <c r="C381" s="9" t="s">
        <v>11</v>
      </c>
      <c r="D381" s="26"/>
      <c r="E381" s="27"/>
      <c r="F381" s="6">
        <f>F379*0.12</f>
        <v>110.39999999999999</v>
      </c>
    </row>
    <row r="382" spans="1:6" ht="12.75" customHeight="1">
      <c r="A382" s="7" t="s">
        <v>874</v>
      </c>
      <c r="B382" s="8" t="s">
        <v>875</v>
      </c>
      <c r="C382" s="9" t="s">
        <v>11</v>
      </c>
      <c r="D382" s="26"/>
      <c r="E382" s="27"/>
      <c r="F382" s="6">
        <v>2484.64</v>
      </c>
    </row>
    <row r="383" spans="1:6" ht="12.75" customHeight="1">
      <c r="A383" s="7" t="s">
        <v>876</v>
      </c>
      <c r="B383" s="8" t="s">
        <v>878</v>
      </c>
      <c r="C383" s="9" t="s">
        <v>11</v>
      </c>
      <c r="D383" s="26"/>
      <c r="E383" s="27"/>
      <c r="F383" s="6">
        <v>723.29</v>
      </c>
    </row>
    <row r="384" spans="1:6" ht="12.75" customHeight="1">
      <c r="A384" s="7" t="s">
        <v>877</v>
      </c>
      <c r="B384" s="8" t="s">
        <v>879</v>
      </c>
      <c r="C384" s="9" t="s">
        <v>11</v>
      </c>
      <c r="D384" s="26"/>
      <c r="E384" s="27"/>
      <c r="F384" s="6">
        <v>5925.1</v>
      </c>
    </row>
    <row r="385" spans="1:6" ht="12.75" customHeight="1">
      <c r="A385" s="7" t="s">
        <v>260</v>
      </c>
      <c r="B385" s="8" t="s">
        <v>245</v>
      </c>
      <c r="C385" s="9" t="s">
        <v>11</v>
      </c>
      <c r="D385" s="26" t="s">
        <v>288</v>
      </c>
      <c r="E385" s="27"/>
      <c r="F385" s="29"/>
    </row>
    <row r="386" spans="1:6" ht="12.75" customHeight="1">
      <c r="A386" s="7" t="s">
        <v>261</v>
      </c>
      <c r="B386" s="75" t="s">
        <v>290</v>
      </c>
      <c r="C386" s="9" t="s">
        <v>87</v>
      </c>
      <c r="D386" s="26"/>
      <c r="E386" s="27"/>
      <c r="F386" s="6">
        <f>SUM(F342,F346,F353,F357,F385)*D386/100</f>
        <v>0</v>
      </c>
    </row>
    <row r="387" spans="1:6" ht="12.75" customHeight="1">
      <c r="A387" s="7" t="s">
        <v>302</v>
      </c>
      <c r="B387" s="8" t="s">
        <v>303</v>
      </c>
      <c r="C387" s="9" t="s">
        <v>11</v>
      </c>
      <c r="D387" s="26"/>
      <c r="E387" s="27"/>
      <c r="F387" s="29">
        <f>SUM(F388,F394,F401)</f>
        <v>365123.62340221996</v>
      </c>
    </row>
    <row r="388" spans="1:6" ht="12.75" customHeight="1">
      <c r="A388" s="7" t="s">
        <v>304</v>
      </c>
      <c r="B388" s="8" t="s">
        <v>94</v>
      </c>
      <c r="C388" s="5" t="s">
        <v>11</v>
      </c>
      <c r="D388" s="26"/>
      <c r="E388" s="27"/>
      <c r="F388" s="6">
        <f>SUM(F389:F393)</f>
        <v>322072.43949</v>
      </c>
    </row>
    <row r="389" spans="1:6" ht="12.75" customHeight="1">
      <c r="A389" s="7" t="s">
        <v>305</v>
      </c>
      <c r="B389" s="8" t="s">
        <v>730</v>
      </c>
      <c r="C389" s="9" t="s">
        <v>97</v>
      </c>
      <c r="D389" s="26">
        <v>367760</v>
      </c>
      <c r="E389" s="55">
        <v>9.24</v>
      </c>
      <c r="F389" s="6">
        <f>(D389*E389)/1000</f>
        <v>3398.1023999999998</v>
      </c>
    </row>
    <row r="390" spans="1:6" ht="12.75" customHeight="1">
      <c r="A390" s="7" t="s">
        <v>306</v>
      </c>
      <c r="B390" s="8" t="s">
        <v>96</v>
      </c>
      <c r="C390" s="9" t="s">
        <v>97</v>
      </c>
      <c r="D390" s="26">
        <v>6908150</v>
      </c>
      <c r="E390" s="55">
        <v>9.24</v>
      </c>
      <c r="F390" s="6">
        <f>(D390*E390)/1000</f>
        <v>63831.306</v>
      </c>
    </row>
    <row r="391" spans="1:6" ht="12.75" customHeight="1">
      <c r="A391" s="7" t="s">
        <v>611</v>
      </c>
      <c r="B391" s="8" t="s">
        <v>731</v>
      </c>
      <c r="C391" s="9" t="s">
        <v>97</v>
      </c>
      <c r="D391" s="26">
        <v>1389880</v>
      </c>
      <c r="E391" s="55">
        <v>21.87</v>
      </c>
      <c r="F391" s="6">
        <f>(D391*E391)/1000</f>
        <v>30396.675600000002</v>
      </c>
    </row>
    <row r="392" spans="1:6" ht="12.75" customHeight="1">
      <c r="A392" s="7" t="s">
        <v>728</v>
      </c>
      <c r="B392" s="8" t="s">
        <v>124</v>
      </c>
      <c r="C392" s="9" t="s">
        <v>97</v>
      </c>
      <c r="D392" s="26">
        <f>9368172-D393</f>
        <v>8889707</v>
      </c>
      <c r="E392" s="55">
        <v>21.87</v>
      </c>
      <c r="F392" s="6">
        <f>(D392*E392)/1000</f>
        <v>194417.89209</v>
      </c>
    </row>
    <row r="393" spans="1:6" ht="12.75" customHeight="1">
      <c r="A393" s="7" t="s">
        <v>729</v>
      </c>
      <c r="B393" s="8" t="s">
        <v>609</v>
      </c>
      <c r="C393" s="9" t="s">
        <v>97</v>
      </c>
      <c r="D393" s="26">
        <v>478465</v>
      </c>
      <c r="E393" s="55">
        <v>62.76</v>
      </c>
      <c r="F393" s="6">
        <f>(D393*E393)/1000</f>
        <v>30028.463399999997</v>
      </c>
    </row>
    <row r="394" spans="1:6" ht="12.75" customHeight="1">
      <c r="A394" s="7" t="s">
        <v>307</v>
      </c>
      <c r="B394" s="8" t="s">
        <v>512</v>
      </c>
      <c r="C394" s="5" t="s">
        <v>11</v>
      </c>
      <c r="D394" s="26"/>
      <c r="E394" s="55"/>
      <c r="F394" s="6">
        <f>SUM(F395:F400)</f>
        <v>39436.098532</v>
      </c>
    </row>
    <row r="395" spans="1:6" ht="12.75" customHeight="1">
      <c r="A395" s="7" t="s">
        <v>612</v>
      </c>
      <c r="B395" s="8" t="s">
        <v>511</v>
      </c>
      <c r="C395" s="9" t="s">
        <v>97</v>
      </c>
      <c r="D395" s="26">
        <v>38830</v>
      </c>
      <c r="E395" s="55">
        <v>14.54</v>
      </c>
      <c r="F395" s="6">
        <f aca="true" t="shared" si="2" ref="F395:F400">(D395*E395)/1000</f>
        <v>564.5881999999999</v>
      </c>
    </row>
    <row r="396" spans="1:8" ht="12.75" customHeight="1">
      <c r="A396" s="7" t="s">
        <v>613</v>
      </c>
      <c r="B396" s="8" t="s">
        <v>956</v>
      </c>
      <c r="C396" s="9" t="s">
        <v>102</v>
      </c>
      <c r="D396" s="26">
        <v>18194.8</v>
      </c>
      <c r="E396" s="55">
        <v>792.09</v>
      </c>
      <c r="F396" s="6">
        <f t="shared" si="2"/>
        <v>14411.919131999999</v>
      </c>
      <c r="H396" s="93"/>
    </row>
    <row r="397" spans="1:8" ht="12.75" customHeight="1">
      <c r="A397" s="7" t="s">
        <v>614</v>
      </c>
      <c r="B397" s="8" t="s">
        <v>971</v>
      </c>
      <c r="C397" s="9" t="s">
        <v>123</v>
      </c>
      <c r="D397" s="26">
        <v>34990</v>
      </c>
      <c r="E397" s="55">
        <v>63</v>
      </c>
      <c r="F397" s="6">
        <f t="shared" si="2"/>
        <v>2204.37</v>
      </c>
      <c r="H397" s="93"/>
    </row>
    <row r="398" spans="1:6" ht="12.75" customHeight="1">
      <c r="A398" s="7" t="s">
        <v>615</v>
      </c>
      <c r="B398" s="8" t="s">
        <v>507</v>
      </c>
      <c r="C398" s="9" t="s">
        <v>123</v>
      </c>
      <c r="D398" s="26">
        <v>12360</v>
      </c>
      <c r="E398" s="55">
        <v>21</v>
      </c>
      <c r="F398" s="6">
        <f t="shared" si="2"/>
        <v>259.56</v>
      </c>
    </row>
    <row r="399" spans="1:6" ht="12.75" customHeight="1">
      <c r="A399" s="7" t="s">
        <v>616</v>
      </c>
      <c r="B399" s="8" t="s">
        <v>508</v>
      </c>
      <c r="C399" s="9" t="s">
        <v>46</v>
      </c>
      <c r="D399" s="26">
        <v>102130</v>
      </c>
      <c r="E399" s="55">
        <v>201.56</v>
      </c>
      <c r="F399" s="6">
        <f t="shared" si="2"/>
        <v>20585.3228</v>
      </c>
    </row>
    <row r="400" spans="1:6" ht="12.75" customHeight="1">
      <c r="A400" s="7" t="s">
        <v>943</v>
      </c>
      <c r="B400" s="8" t="s">
        <v>509</v>
      </c>
      <c r="C400" s="9" t="s">
        <v>46</v>
      </c>
      <c r="D400" s="26">
        <v>5640</v>
      </c>
      <c r="E400" s="55">
        <v>250.06</v>
      </c>
      <c r="F400" s="6">
        <f t="shared" si="2"/>
        <v>1410.3383999999999</v>
      </c>
    </row>
    <row r="401" spans="1:6" ht="12.75" customHeight="1">
      <c r="A401" s="7" t="s">
        <v>314</v>
      </c>
      <c r="B401" s="8" t="s">
        <v>290</v>
      </c>
      <c r="C401" s="9" t="s">
        <v>87</v>
      </c>
      <c r="D401" s="26">
        <v>1</v>
      </c>
      <c r="E401" s="27"/>
      <c r="F401" s="6">
        <f>SUM(F388,F394)*D401/100</f>
        <v>3615.08538022</v>
      </c>
    </row>
    <row r="402" spans="1:6" ht="12.75" customHeight="1">
      <c r="A402" s="7" t="s">
        <v>308</v>
      </c>
      <c r="B402" s="8" t="s">
        <v>309</v>
      </c>
      <c r="C402" s="9" t="s">
        <v>11</v>
      </c>
      <c r="D402" s="26"/>
      <c r="E402" s="27"/>
      <c r="F402" s="29">
        <f>SUM(F403,F409,F416)</f>
        <v>205113.2898823</v>
      </c>
    </row>
    <row r="403" spans="1:6" ht="12.75" customHeight="1">
      <c r="A403" s="7" t="s">
        <v>310</v>
      </c>
      <c r="B403" s="8" t="s">
        <v>94</v>
      </c>
      <c r="C403" s="5" t="s">
        <v>11</v>
      </c>
      <c r="D403" s="26"/>
      <c r="E403" s="27"/>
      <c r="F403" s="6">
        <f>SUM(F404:F408)</f>
        <v>191863.11123</v>
      </c>
    </row>
    <row r="404" spans="1:6" ht="12.75" customHeight="1">
      <c r="A404" s="7" t="s">
        <v>311</v>
      </c>
      <c r="B404" s="8" t="s">
        <v>730</v>
      </c>
      <c r="C404" s="9" t="s">
        <v>97</v>
      </c>
      <c r="D404" s="26">
        <v>339470</v>
      </c>
      <c r="E404" s="55">
        <v>9.24</v>
      </c>
      <c r="F404" s="6">
        <f>(D404*E404)/1000</f>
        <v>3136.7028000000005</v>
      </c>
    </row>
    <row r="405" spans="1:6" ht="12.75" customHeight="1">
      <c r="A405" s="7" t="s">
        <v>312</v>
      </c>
      <c r="B405" s="8" t="s">
        <v>96</v>
      </c>
      <c r="C405" s="9" t="s">
        <v>97</v>
      </c>
      <c r="D405" s="26">
        <v>1605855</v>
      </c>
      <c r="E405" s="55">
        <v>9.24</v>
      </c>
      <c r="F405" s="6">
        <f>(D405*E405)/1000</f>
        <v>14838.1002</v>
      </c>
    </row>
    <row r="406" spans="1:8" ht="12.75" customHeight="1">
      <c r="A406" s="7" t="s">
        <v>610</v>
      </c>
      <c r="B406" s="8" t="s">
        <v>731</v>
      </c>
      <c r="C406" s="9" t="s">
        <v>97</v>
      </c>
      <c r="D406" s="26">
        <v>1048505</v>
      </c>
      <c r="E406" s="55">
        <v>21.87</v>
      </c>
      <c r="F406" s="6">
        <f>(D406*E406)/1000</f>
        <v>22930.804350000002</v>
      </c>
      <c r="H406" s="94"/>
    </row>
    <row r="407" spans="1:8" ht="12.75" customHeight="1">
      <c r="A407" s="7" t="s">
        <v>732</v>
      </c>
      <c r="B407" s="8" t="s">
        <v>124</v>
      </c>
      <c r="C407" s="9" t="s">
        <v>97</v>
      </c>
      <c r="D407" s="26">
        <f>4269150-D408</f>
        <v>2860708</v>
      </c>
      <c r="E407" s="55">
        <v>21.87</v>
      </c>
      <c r="F407" s="6">
        <f>(D407*E407)/1000</f>
        <v>62563.68396</v>
      </c>
      <c r="H407" s="128"/>
    </row>
    <row r="408" spans="1:8" ht="12.75" customHeight="1">
      <c r="A408" s="7" t="s">
        <v>733</v>
      </c>
      <c r="B408" s="8" t="s">
        <v>609</v>
      </c>
      <c r="C408" s="9" t="s">
        <v>97</v>
      </c>
      <c r="D408" s="26">
        <f>1088652+319790</f>
        <v>1408442</v>
      </c>
      <c r="E408" s="55">
        <v>62.76</v>
      </c>
      <c r="F408" s="6">
        <f>(D408*E408)/1000</f>
        <v>88393.81992000001</v>
      </c>
      <c r="H408" s="128"/>
    </row>
    <row r="409" spans="1:8" ht="12.75" customHeight="1">
      <c r="A409" s="7" t="s">
        <v>313</v>
      </c>
      <c r="B409" s="8" t="s">
        <v>512</v>
      </c>
      <c r="C409" s="5" t="s">
        <v>11</v>
      </c>
      <c r="D409" s="26"/>
      <c r="E409" s="55"/>
      <c r="F409" s="6">
        <f>SUM(F410:F415)</f>
        <v>11219.353999999998</v>
      </c>
      <c r="H409" s="94"/>
    </row>
    <row r="410" spans="1:8" ht="12.75" customHeight="1">
      <c r="A410" s="7" t="s">
        <v>617</v>
      </c>
      <c r="B410" s="8" t="s">
        <v>511</v>
      </c>
      <c r="C410" s="9" t="s">
        <v>97</v>
      </c>
      <c r="D410" s="26">
        <v>45150</v>
      </c>
      <c r="E410" s="55">
        <v>14.54</v>
      </c>
      <c r="F410" s="6">
        <f>(D410*E410)/1000</f>
        <v>656.481</v>
      </c>
      <c r="H410" s="94"/>
    </row>
    <row r="411" spans="1:8" ht="12.75" customHeight="1">
      <c r="A411" s="7" t="s">
        <v>950</v>
      </c>
      <c r="B411" s="8" t="s">
        <v>956</v>
      </c>
      <c r="C411" s="9" t="s">
        <v>102</v>
      </c>
      <c r="D411" s="26">
        <v>4940</v>
      </c>
      <c r="E411" s="55">
        <v>792.09</v>
      </c>
      <c r="F411" s="6">
        <f>(D413*E411)/1000</f>
        <v>7524.855</v>
      </c>
      <c r="H411" s="94"/>
    </row>
    <row r="412" spans="1:8" ht="12.75" customHeight="1">
      <c r="A412" s="7" t="s">
        <v>951</v>
      </c>
      <c r="B412" s="8" t="s">
        <v>971</v>
      </c>
      <c r="C412" s="9" t="s">
        <v>123</v>
      </c>
      <c r="D412" s="26">
        <v>9500</v>
      </c>
      <c r="E412" s="55">
        <v>63</v>
      </c>
      <c r="F412" s="6">
        <f>(D411*E412)/1000</f>
        <v>311.22</v>
      </c>
      <c r="H412" s="94"/>
    </row>
    <row r="413" spans="1:6" ht="12.75" customHeight="1">
      <c r="A413" s="7" t="s">
        <v>952</v>
      </c>
      <c r="B413" s="8" t="s">
        <v>507</v>
      </c>
      <c r="C413" s="9" t="s">
        <v>123</v>
      </c>
      <c r="D413" s="26">
        <v>9500</v>
      </c>
      <c r="E413" s="55">
        <v>64.11</v>
      </c>
      <c r="F413" s="6">
        <f>(D412*E413)/1000</f>
        <v>609.045</v>
      </c>
    </row>
    <row r="414" spans="1:6" ht="12.75" customHeight="1">
      <c r="A414" s="7" t="s">
        <v>953</v>
      </c>
      <c r="B414" s="8" t="s">
        <v>508</v>
      </c>
      <c r="C414" s="9" t="s">
        <v>46</v>
      </c>
      <c r="D414" s="26">
        <v>10085</v>
      </c>
      <c r="E414" s="55">
        <v>201.56</v>
      </c>
      <c r="F414" s="6">
        <f>(D414*E414)/1000</f>
        <v>2032.7326</v>
      </c>
    </row>
    <row r="415" spans="1:8" ht="12.75" customHeight="1">
      <c r="A415" s="7" t="s">
        <v>954</v>
      </c>
      <c r="B415" s="8" t="s">
        <v>509</v>
      </c>
      <c r="C415" s="9" t="s">
        <v>46</v>
      </c>
      <c r="D415" s="26">
        <v>340</v>
      </c>
      <c r="E415" s="55">
        <v>250.06</v>
      </c>
      <c r="F415" s="6">
        <f>(D415*E415)/1000</f>
        <v>85.0204</v>
      </c>
      <c r="H415" s="12"/>
    </row>
    <row r="416" spans="1:6" ht="12.75" customHeight="1">
      <c r="A416" s="7" t="s">
        <v>315</v>
      </c>
      <c r="B416" s="8" t="s">
        <v>290</v>
      </c>
      <c r="C416" s="9" t="s">
        <v>87</v>
      </c>
      <c r="D416" s="26">
        <v>1</v>
      </c>
      <c r="E416" s="27"/>
      <c r="F416" s="6">
        <f>SUM(F403,F409)*D416/100</f>
        <v>2030.8246523</v>
      </c>
    </row>
    <row r="417" spans="1:6" ht="12.75" customHeight="1">
      <c r="A417" s="7" t="s">
        <v>131</v>
      </c>
      <c r="B417" s="8" t="s">
        <v>132</v>
      </c>
      <c r="C417" s="5" t="s">
        <v>11</v>
      </c>
      <c r="D417" s="26"/>
      <c r="E417" s="27"/>
      <c r="F417" s="6">
        <f>SUM(F418,F452,F467)</f>
        <v>1112932.0933518</v>
      </c>
    </row>
    <row r="418" spans="1:6" ht="12.75" customHeight="1">
      <c r="A418" s="7" t="s">
        <v>133</v>
      </c>
      <c r="B418" s="8" t="s">
        <v>262</v>
      </c>
      <c r="C418" s="9" t="s">
        <v>11</v>
      </c>
      <c r="D418" s="26"/>
      <c r="E418" s="27"/>
      <c r="F418" s="6">
        <f>SUM(F419,F423,F427,F431,F450:F451)</f>
        <v>713712.184103</v>
      </c>
    </row>
    <row r="419" spans="1:6" ht="12.75" customHeight="1">
      <c r="A419" s="7" t="s">
        <v>134</v>
      </c>
      <c r="B419" s="28" t="s">
        <v>94</v>
      </c>
      <c r="C419" s="9" t="s">
        <v>11</v>
      </c>
      <c r="D419" s="26"/>
      <c r="E419" s="27"/>
      <c r="F419" s="6">
        <f>SUM(F420:F422)</f>
        <v>32226.806474999998</v>
      </c>
    </row>
    <row r="420" spans="1:6" ht="12.75" customHeight="1">
      <c r="A420" s="7" t="s">
        <v>135</v>
      </c>
      <c r="B420" s="8" t="s">
        <v>96</v>
      </c>
      <c r="C420" s="9" t="s">
        <v>97</v>
      </c>
      <c r="D420" s="26">
        <v>109630</v>
      </c>
      <c r="E420" s="55">
        <v>9.24</v>
      </c>
      <c r="F420" s="6">
        <f>(D420*E420)/1000</f>
        <v>1012.9812000000001</v>
      </c>
    </row>
    <row r="421" spans="1:6" ht="12.75" customHeight="1">
      <c r="A421" s="7" t="s">
        <v>136</v>
      </c>
      <c r="B421" s="8" t="s">
        <v>326</v>
      </c>
      <c r="C421" s="9" t="s">
        <v>97</v>
      </c>
      <c r="D421" s="26">
        <f>1291770-D422</f>
        <v>984742.5</v>
      </c>
      <c r="E421" s="55">
        <v>21.87</v>
      </c>
      <c r="F421" s="6">
        <f>(D421*E421)/1000</f>
        <v>21536.318475</v>
      </c>
    </row>
    <row r="422" spans="1:6" ht="12.75" customHeight="1">
      <c r="A422" s="7" t="s">
        <v>618</v>
      </c>
      <c r="B422" s="8" t="s">
        <v>515</v>
      </c>
      <c r="C422" s="9" t="s">
        <v>97</v>
      </c>
      <c r="D422" s="26">
        <v>307027.5</v>
      </c>
      <c r="E422" s="55">
        <v>31.52</v>
      </c>
      <c r="F422" s="6">
        <f>(D422*E422)/1000</f>
        <v>9677.506800000001</v>
      </c>
    </row>
    <row r="423" spans="1:6" ht="12.75" customHeight="1">
      <c r="A423" s="7" t="s">
        <v>137</v>
      </c>
      <c r="B423" s="8" t="s">
        <v>100</v>
      </c>
      <c r="C423" s="9" t="s">
        <v>11</v>
      </c>
      <c r="D423" s="26"/>
      <c r="E423" s="55"/>
      <c r="F423" s="6">
        <f>SUM(F424:F426)</f>
        <v>2613.542</v>
      </c>
    </row>
    <row r="424" spans="1:6" ht="12.75" customHeight="1">
      <c r="A424" s="7" t="s">
        <v>642</v>
      </c>
      <c r="B424" s="8" t="s">
        <v>504</v>
      </c>
      <c r="C424" s="9" t="s">
        <v>123</v>
      </c>
      <c r="D424" s="26">
        <v>23795</v>
      </c>
      <c r="E424" s="55">
        <v>46.71</v>
      </c>
      <c r="F424" s="6">
        <f>(D424*E424)/1000</f>
        <v>1111.46445</v>
      </c>
    </row>
    <row r="425" spans="1:6" ht="12.75" customHeight="1">
      <c r="A425" s="7" t="s">
        <v>643</v>
      </c>
      <c r="B425" s="8" t="s">
        <v>974</v>
      </c>
      <c r="C425" s="9" t="s">
        <v>46</v>
      </c>
      <c r="D425" s="26">
        <v>4870</v>
      </c>
      <c r="E425" s="55">
        <v>223.94</v>
      </c>
      <c r="F425" s="6">
        <f>(D425*E425)/1000</f>
        <v>1090.5878</v>
      </c>
    </row>
    <row r="426" spans="1:6" ht="12.75" customHeight="1">
      <c r="A426" s="7" t="s">
        <v>644</v>
      </c>
      <c r="B426" s="8" t="s">
        <v>586</v>
      </c>
      <c r="C426" s="9" t="s">
        <v>46</v>
      </c>
      <c r="D426" s="26">
        <v>3675</v>
      </c>
      <c r="E426" s="55">
        <v>111.97</v>
      </c>
      <c r="F426" s="6">
        <f>(D426*E426)/1000</f>
        <v>411.48975</v>
      </c>
    </row>
    <row r="427" spans="1:6" ht="12.75" customHeight="1">
      <c r="A427" s="7" t="s">
        <v>233</v>
      </c>
      <c r="B427" s="8" t="s">
        <v>101</v>
      </c>
      <c r="C427" s="9" t="s">
        <v>11</v>
      </c>
      <c r="D427" s="26"/>
      <c r="E427" s="27"/>
      <c r="F427" s="6">
        <f>SUM(F428:F430)</f>
        <v>465463.505628</v>
      </c>
    </row>
    <row r="428" spans="1:6" ht="12.75" customHeight="1">
      <c r="A428" s="7" t="s">
        <v>231</v>
      </c>
      <c r="B428" s="8" t="s">
        <v>103</v>
      </c>
      <c r="C428" s="9" t="s">
        <v>97</v>
      </c>
      <c r="D428" s="26">
        <v>492360</v>
      </c>
      <c r="E428" s="55">
        <v>258.27</v>
      </c>
      <c r="F428" s="6">
        <f>(D428*E428)/1000</f>
        <v>127161.81719999999</v>
      </c>
    </row>
    <row r="429" spans="1:6" ht="12.75" customHeight="1">
      <c r="A429" s="7" t="s">
        <v>229</v>
      </c>
      <c r="B429" s="119" t="s">
        <v>944</v>
      </c>
      <c r="C429" s="9" t="s">
        <v>102</v>
      </c>
      <c r="D429" s="26">
        <f>0.27*D428</f>
        <v>132937.2</v>
      </c>
      <c r="E429" s="55">
        <v>792.09</v>
      </c>
      <c r="F429" s="6">
        <f>(D429*E429)/1000</f>
        <v>105298.22674800002</v>
      </c>
    </row>
    <row r="430" spans="1:6" ht="12.75" customHeight="1">
      <c r="A430" s="7" t="s">
        <v>230</v>
      </c>
      <c r="B430" s="8" t="s">
        <v>104</v>
      </c>
      <c r="C430" s="9" t="s">
        <v>102</v>
      </c>
      <c r="D430" s="26">
        <f>0.06*D428</f>
        <v>29541.6</v>
      </c>
      <c r="E430" s="55">
        <v>7887.3</v>
      </c>
      <c r="F430" s="6">
        <f>(D430*E430)/1000</f>
        <v>233003.46168</v>
      </c>
    </row>
    <row r="431" spans="1:6" ht="12.75" customHeight="1">
      <c r="A431" s="3" t="s">
        <v>138</v>
      </c>
      <c r="B431" s="4" t="s">
        <v>111</v>
      </c>
      <c r="C431" s="5" t="s">
        <v>11</v>
      </c>
      <c r="D431" s="26"/>
      <c r="E431" s="27"/>
      <c r="F431" s="6">
        <f>SUM(F432,F437,F441,F446:F448,F449)</f>
        <v>213408.33</v>
      </c>
    </row>
    <row r="432" spans="1:6" ht="12.75" customHeight="1">
      <c r="A432" s="7" t="s">
        <v>139</v>
      </c>
      <c r="B432" s="75" t="s">
        <v>890</v>
      </c>
      <c r="C432" s="5" t="s">
        <v>11</v>
      </c>
      <c r="D432" s="26"/>
      <c r="E432" s="27"/>
      <c r="F432" s="6">
        <f>SUM(F433:F436)</f>
        <v>46880</v>
      </c>
    </row>
    <row r="433" spans="1:6" ht="12.75" customHeight="1">
      <c r="A433" s="7" t="s">
        <v>140</v>
      </c>
      <c r="B433" s="8" t="s">
        <v>112</v>
      </c>
      <c r="C433" s="9" t="s">
        <v>113</v>
      </c>
      <c r="D433" s="108">
        <v>48</v>
      </c>
      <c r="E433" s="96">
        <v>750000</v>
      </c>
      <c r="F433" s="72">
        <f>D433*E433/1000</f>
        <v>36000</v>
      </c>
    </row>
    <row r="434" spans="1:6" ht="12.75" customHeight="1">
      <c r="A434" s="7" t="s">
        <v>141</v>
      </c>
      <c r="B434" s="8" t="s">
        <v>114</v>
      </c>
      <c r="C434" s="9" t="s">
        <v>11</v>
      </c>
      <c r="D434" s="26"/>
      <c r="E434" s="96"/>
      <c r="F434" s="6">
        <f>F433*0.08</f>
        <v>2880</v>
      </c>
    </row>
    <row r="435" spans="1:6" ht="12.75" customHeight="1">
      <c r="A435" s="7" t="s">
        <v>142</v>
      </c>
      <c r="B435" s="8" t="s">
        <v>115</v>
      </c>
      <c r="C435" s="9" t="s">
        <v>11</v>
      </c>
      <c r="D435" s="26"/>
      <c r="E435" s="96"/>
      <c r="F435" s="6">
        <f>F433*0.1</f>
        <v>3600</v>
      </c>
    </row>
    <row r="436" spans="1:6" ht="12.75" customHeight="1">
      <c r="A436" s="7" t="s">
        <v>422</v>
      </c>
      <c r="B436" s="8" t="s">
        <v>423</v>
      </c>
      <c r="C436" s="9" t="s">
        <v>113</v>
      </c>
      <c r="D436" s="26">
        <v>88</v>
      </c>
      <c r="E436" s="96">
        <v>50000</v>
      </c>
      <c r="F436" s="6">
        <f>E436*D436/1000</f>
        <v>4400</v>
      </c>
    </row>
    <row r="437" spans="1:6" ht="12.75" customHeight="1">
      <c r="A437" s="7" t="s">
        <v>143</v>
      </c>
      <c r="B437" s="75" t="s">
        <v>955</v>
      </c>
      <c r="C437" s="5" t="s">
        <v>11</v>
      </c>
      <c r="D437" s="26"/>
      <c r="E437" s="96"/>
      <c r="F437" s="72">
        <f>SUM(F438:F440)</f>
        <v>1836</v>
      </c>
    </row>
    <row r="438" spans="1:6" ht="12.75" customHeight="1">
      <c r="A438" s="7" t="s">
        <v>144</v>
      </c>
      <c r="B438" s="8" t="s">
        <v>112</v>
      </c>
      <c r="C438" s="9" t="s">
        <v>113</v>
      </c>
      <c r="D438" s="26">
        <v>3</v>
      </c>
      <c r="E438" s="73">
        <v>510000</v>
      </c>
      <c r="F438" s="72">
        <f>D438*E438/1000</f>
        <v>1530</v>
      </c>
    </row>
    <row r="439" spans="1:6" ht="12.75" customHeight="1">
      <c r="A439" s="7" t="s">
        <v>145</v>
      </c>
      <c r="B439" s="8" t="s">
        <v>114</v>
      </c>
      <c r="C439" s="9" t="s">
        <v>11</v>
      </c>
      <c r="D439" s="26"/>
      <c r="E439" s="27"/>
      <c r="F439" s="6">
        <f>F438*0.08</f>
        <v>122.4</v>
      </c>
    </row>
    <row r="440" spans="1:6" ht="12.75" customHeight="1">
      <c r="A440" s="7" t="s">
        <v>146</v>
      </c>
      <c r="B440" s="8" t="s">
        <v>115</v>
      </c>
      <c r="C440" s="9" t="s">
        <v>11</v>
      </c>
      <c r="D440" s="26"/>
      <c r="E440" s="27"/>
      <c r="F440" s="6">
        <f>F438*0.12</f>
        <v>183.6</v>
      </c>
    </row>
    <row r="441" spans="1:6" ht="12.75" customHeight="1">
      <c r="A441" s="7" t="s">
        <v>147</v>
      </c>
      <c r="B441" s="8" t="s">
        <v>891</v>
      </c>
      <c r="C441" s="5" t="s">
        <v>11</v>
      </c>
      <c r="D441" s="26"/>
      <c r="E441" s="27"/>
      <c r="F441" s="6">
        <f>SUM(F442:F445)</f>
        <v>38174.4</v>
      </c>
    </row>
    <row r="442" spans="1:6" ht="12.75" customHeight="1">
      <c r="A442" s="7" t="s">
        <v>148</v>
      </c>
      <c r="B442" s="8" t="s">
        <v>112</v>
      </c>
      <c r="C442" s="9" t="s">
        <v>113</v>
      </c>
      <c r="D442" s="26">
        <v>176</v>
      </c>
      <c r="E442" s="27">
        <v>155000</v>
      </c>
      <c r="F442" s="6">
        <f>D442*E442/1000</f>
        <v>27280</v>
      </c>
    </row>
    <row r="443" spans="1:10" ht="12.75" customHeight="1">
      <c r="A443" s="7" t="s">
        <v>149</v>
      </c>
      <c r="B443" s="8" t="s">
        <v>114</v>
      </c>
      <c r="C443" s="9" t="s">
        <v>11</v>
      </c>
      <c r="D443" s="26"/>
      <c r="E443" s="27"/>
      <c r="F443" s="6">
        <f>F442*0.08</f>
        <v>2182.4</v>
      </c>
      <c r="J443" s="15" t="s">
        <v>280</v>
      </c>
    </row>
    <row r="444" spans="1:6" ht="12.75" customHeight="1">
      <c r="A444" s="7" t="s">
        <v>150</v>
      </c>
      <c r="B444" s="8" t="s">
        <v>115</v>
      </c>
      <c r="C444" s="9" t="s">
        <v>11</v>
      </c>
      <c r="D444" s="26"/>
      <c r="E444" s="27"/>
      <c r="F444" s="6">
        <f>F442*0.1</f>
        <v>2728</v>
      </c>
    </row>
    <row r="445" spans="1:6" ht="12.75" customHeight="1">
      <c r="A445" s="7" t="s">
        <v>888</v>
      </c>
      <c r="B445" s="8" t="s">
        <v>889</v>
      </c>
      <c r="C445" s="9" t="s">
        <v>113</v>
      </c>
      <c r="D445" s="26">
        <v>176</v>
      </c>
      <c r="E445" s="27">
        <v>34000</v>
      </c>
      <c r="F445" s="6">
        <f>D445*E445/1000</f>
        <v>5984</v>
      </c>
    </row>
    <row r="446" spans="1:6" ht="12.75" customHeight="1">
      <c r="A446" s="7" t="s">
        <v>880</v>
      </c>
      <c r="B446" s="8" t="s">
        <v>883</v>
      </c>
      <c r="C446" s="5" t="s">
        <v>11</v>
      </c>
      <c r="D446" s="26"/>
      <c r="E446" s="27"/>
      <c r="F446" s="6">
        <v>2823.1</v>
      </c>
    </row>
    <row r="447" spans="1:6" ht="12.75" customHeight="1">
      <c r="A447" s="7" t="s">
        <v>881</v>
      </c>
      <c r="B447" s="8" t="s">
        <v>878</v>
      </c>
      <c r="C447" s="5" t="s">
        <v>11</v>
      </c>
      <c r="D447" s="26"/>
      <c r="E447" s="27"/>
      <c r="F447" s="6">
        <v>336.93</v>
      </c>
    </row>
    <row r="448" spans="1:6" ht="12.75" customHeight="1">
      <c r="A448" s="7" t="s">
        <v>882</v>
      </c>
      <c r="B448" s="8" t="s">
        <v>913</v>
      </c>
      <c r="C448" s="5" t="s">
        <v>11</v>
      </c>
      <c r="D448" s="26"/>
      <c r="E448" s="27"/>
      <c r="F448" s="6">
        <v>3357.9</v>
      </c>
    </row>
    <row r="449" spans="1:6" ht="12.75" customHeight="1">
      <c r="A449" s="7" t="s">
        <v>961</v>
      </c>
      <c r="B449" s="8" t="s">
        <v>975</v>
      </c>
      <c r="C449" s="5" t="s">
        <v>11</v>
      </c>
      <c r="D449" s="26"/>
      <c r="E449" s="27"/>
      <c r="F449" s="6">
        <v>120000</v>
      </c>
    </row>
    <row r="450" spans="1:6" ht="12.75" customHeight="1">
      <c r="A450" s="7" t="s">
        <v>263</v>
      </c>
      <c r="B450" s="8" t="s">
        <v>245</v>
      </c>
      <c r="C450" s="9" t="s">
        <v>11</v>
      </c>
      <c r="D450" s="26"/>
      <c r="E450" s="27"/>
      <c r="F450" s="6">
        <f>(D450*E450)/1000</f>
        <v>0</v>
      </c>
    </row>
    <row r="451" spans="1:6" ht="12.75" customHeight="1">
      <c r="A451" s="7" t="s">
        <v>264</v>
      </c>
      <c r="B451" s="8" t="s">
        <v>290</v>
      </c>
      <c r="C451" s="9" t="s">
        <v>87</v>
      </c>
      <c r="D451" s="26"/>
      <c r="E451" s="27"/>
      <c r="F451" s="6">
        <f>SUM(F419,F423,F427,F431,F450)*D451/100</f>
        <v>0</v>
      </c>
    </row>
    <row r="452" spans="1:6" ht="12.75" customHeight="1">
      <c r="A452" s="7" t="s">
        <v>237</v>
      </c>
      <c r="B452" s="8" t="s">
        <v>285</v>
      </c>
      <c r="C452" s="9" t="s">
        <v>11</v>
      </c>
      <c r="D452" s="26"/>
      <c r="E452" s="27"/>
      <c r="F452" s="6">
        <f>SUM(F453,F458:F459,F466)</f>
        <v>272064.64542868006</v>
      </c>
    </row>
    <row r="453" spans="1:6" ht="12.75" customHeight="1">
      <c r="A453" s="7" t="s">
        <v>234</v>
      </c>
      <c r="B453" s="8" t="s">
        <v>94</v>
      </c>
      <c r="C453" s="9" t="s">
        <v>11</v>
      </c>
      <c r="D453" s="26"/>
      <c r="E453" s="27"/>
      <c r="F453" s="6">
        <f>SUM(F454:F457)</f>
        <v>266076.17286000005</v>
      </c>
    </row>
    <row r="454" spans="1:6" ht="12.75" customHeight="1">
      <c r="A454" s="7" t="s">
        <v>235</v>
      </c>
      <c r="B454" s="8" t="s">
        <v>734</v>
      </c>
      <c r="C454" s="9" t="s">
        <v>97</v>
      </c>
      <c r="D454" s="26">
        <v>397165</v>
      </c>
      <c r="E454" s="55">
        <v>9.24</v>
      </c>
      <c r="F454" s="6">
        <f>(D454*E454)/1000</f>
        <v>3669.8046</v>
      </c>
    </row>
    <row r="455" spans="1:6" ht="12.75" customHeight="1">
      <c r="A455" s="7" t="s">
        <v>238</v>
      </c>
      <c r="B455" s="8" t="s">
        <v>96</v>
      </c>
      <c r="C455" s="9" t="s">
        <v>97</v>
      </c>
      <c r="D455" s="26">
        <v>3860046</v>
      </c>
      <c r="E455" s="55">
        <v>9.24</v>
      </c>
      <c r="F455" s="6">
        <f>(D455*E455)/1000</f>
        <v>35666.825039999996</v>
      </c>
    </row>
    <row r="456" spans="1:6" ht="12.75" customHeight="1">
      <c r="A456" s="7" t="s">
        <v>736</v>
      </c>
      <c r="B456" s="8" t="s">
        <v>735</v>
      </c>
      <c r="C456" s="9" t="s">
        <v>97</v>
      </c>
      <c r="D456" s="26">
        <v>5575311</v>
      </c>
      <c r="E456" s="55">
        <v>21.87</v>
      </c>
      <c r="F456" s="6">
        <f>(D456*E456)/1000</f>
        <v>121932.05157000001</v>
      </c>
    </row>
    <row r="457" spans="1:6" ht="12.75" customHeight="1">
      <c r="A457" s="7" t="s">
        <v>737</v>
      </c>
      <c r="B457" s="8" t="s">
        <v>124</v>
      </c>
      <c r="C457" s="9" t="s">
        <v>97</v>
      </c>
      <c r="D457" s="26">
        <v>4792295</v>
      </c>
      <c r="E457" s="55">
        <v>21.87</v>
      </c>
      <c r="F457" s="6">
        <f>(D457*E457)/1000</f>
        <v>104807.49165000001</v>
      </c>
    </row>
    <row r="458" spans="1:6" ht="12.75" customHeight="1">
      <c r="A458" s="7" t="s">
        <v>236</v>
      </c>
      <c r="B458" s="8" t="s">
        <v>100</v>
      </c>
      <c r="C458" s="9" t="s">
        <v>239</v>
      </c>
      <c r="D458" s="26"/>
      <c r="E458" s="55"/>
      <c r="F458" s="6">
        <f>(D458*E458)/1000</f>
        <v>0</v>
      </c>
    </row>
    <row r="459" spans="1:6" ht="12.75" customHeight="1">
      <c r="A459" s="7" t="s">
        <v>265</v>
      </c>
      <c r="B459" s="8" t="s">
        <v>513</v>
      </c>
      <c r="C459" s="9" t="s">
        <v>11</v>
      </c>
      <c r="D459" s="26"/>
      <c r="E459" s="69"/>
      <c r="F459" s="6">
        <f>SUM(F460:F465)</f>
        <v>3294.763208</v>
      </c>
    </row>
    <row r="460" spans="1:6" ht="12.75" customHeight="1">
      <c r="A460" s="7" t="s">
        <v>632</v>
      </c>
      <c r="B460" s="8" t="s">
        <v>511</v>
      </c>
      <c r="C460" s="9" t="s">
        <v>97</v>
      </c>
      <c r="D460" s="26">
        <v>19460</v>
      </c>
      <c r="E460" s="55">
        <v>14.54</v>
      </c>
      <c r="F460" s="6">
        <f aca="true" t="shared" si="3" ref="F460:F465">(D460*E460)/1000</f>
        <v>282.9484</v>
      </c>
    </row>
    <row r="461" spans="1:6" ht="12.75" customHeight="1">
      <c r="A461" s="7" t="s">
        <v>633</v>
      </c>
      <c r="B461" s="8" t="s">
        <v>956</v>
      </c>
      <c r="C461" s="9" t="s">
        <v>102</v>
      </c>
      <c r="D461" s="26">
        <v>2631.2</v>
      </c>
      <c r="E461" s="55">
        <v>792.09</v>
      </c>
      <c r="F461" s="6">
        <f t="shared" si="3"/>
        <v>2084.147208</v>
      </c>
    </row>
    <row r="462" spans="1:6" ht="12.75" customHeight="1">
      <c r="A462" s="7" t="s">
        <v>634</v>
      </c>
      <c r="B462" s="8" t="s">
        <v>957</v>
      </c>
      <c r="C462" s="9" t="s">
        <v>123</v>
      </c>
      <c r="D462" s="26">
        <v>5060</v>
      </c>
      <c r="E462" s="55">
        <v>63</v>
      </c>
      <c r="F462" s="6">
        <f t="shared" si="3"/>
        <v>318.78</v>
      </c>
    </row>
    <row r="463" spans="1:6" ht="12.75" customHeight="1">
      <c r="A463" s="7" t="s">
        <v>635</v>
      </c>
      <c r="B463" s="8" t="s">
        <v>507</v>
      </c>
      <c r="C463" s="9" t="s">
        <v>123</v>
      </c>
      <c r="D463" s="26">
        <v>5060</v>
      </c>
      <c r="E463" s="55">
        <v>21</v>
      </c>
      <c r="F463" s="6">
        <f t="shared" si="3"/>
        <v>106.26</v>
      </c>
    </row>
    <row r="464" spans="1:6" s="94" customFormat="1" ht="12.75" customHeight="1">
      <c r="A464" s="7" t="s">
        <v>636</v>
      </c>
      <c r="B464" s="8" t="s">
        <v>508</v>
      </c>
      <c r="C464" s="9" t="s">
        <v>46</v>
      </c>
      <c r="D464" s="26">
        <f>1900+420</f>
        <v>2320</v>
      </c>
      <c r="E464" s="55">
        <v>201.56</v>
      </c>
      <c r="F464" s="6">
        <f t="shared" si="3"/>
        <v>467.61920000000003</v>
      </c>
    </row>
    <row r="465" spans="1:6" ht="12.75" customHeight="1">
      <c r="A465" s="7" t="s">
        <v>945</v>
      </c>
      <c r="B465" s="8" t="s">
        <v>509</v>
      </c>
      <c r="C465" s="9" t="s">
        <v>46</v>
      </c>
      <c r="D465" s="26">
        <v>140</v>
      </c>
      <c r="E465" s="55">
        <v>250.06</v>
      </c>
      <c r="F465" s="6">
        <f t="shared" si="3"/>
        <v>35.0084</v>
      </c>
    </row>
    <row r="466" spans="1:6" ht="12.75" customHeight="1">
      <c r="A466" s="7" t="s">
        <v>266</v>
      </c>
      <c r="B466" s="8" t="s">
        <v>976</v>
      </c>
      <c r="C466" s="9" t="s">
        <v>87</v>
      </c>
      <c r="D466" s="26">
        <v>1</v>
      </c>
      <c r="E466" s="27">
        <f>SUM(F459,F453)</f>
        <v>269370.93606800004</v>
      </c>
      <c r="F466" s="6">
        <f>D466*E466/100</f>
        <v>2693.7093606800004</v>
      </c>
    </row>
    <row r="467" spans="1:6" ht="12.75" customHeight="1">
      <c r="A467" s="7" t="s">
        <v>151</v>
      </c>
      <c r="B467" s="8" t="s">
        <v>152</v>
      </c>
      <c r="C467" s="9" t="s">
        <v>11</v>
      </c>
      <c r="D467" s="26"/>
      <c r="E467" s="27"/>
      <c r="F467" s="6">
        <f>SUM(F468,F473:F474,F481)</f>
        <v>127155.26382012</v>
      </c>
    </row>
    <row r="468" spans="1:6" ht="12.75" customHeight="1">
      <c r="A468" s="7" t="s">
        <v>153</v>
      </c>
      <c r="B468" s="8" t="s">
        <v>94</v>
      </c>
      <c r="C468" s="9" t="s">
        <v>11</v>
      </c>
      <c r="D468" s="26"/>
      <c r="E468" s="27"/>
      <c r="F468" s="6">
        <f>SUM(F469:F472)</f>
        <v>124227.17835</v>
      </c>
    </row>
    <row r="469" spans="1:6" ht="12.75" customHeight="1">
      <c r="A469" s="7" t="s">
        <v>154</v>
      </c>
      <c r="B469" s="8" t="s">
        <v>734</v>
      </c>
      <c r="C469" s="9" t="s">
        <v>97</v>
      </c>
      <c r="D469" s="26">
        <v>338326</v>
      </c>
      <c r="E469" s="55">
        <v>9.24</v>
      </c>
      <c r="F469" s="6">
        <f>(D469*E469)/1000</f>
        <v>3126.1322400000004</v>
      </c>
    </row>
    <row r="470" spans="1:6" ht="12.75" customHeight="1">
      <c r="A470" s="7" t="s">
        <v>155</v>
      </c>
      <c r="B470" s="8" t="s">
        <v>96</v>
      </c>
      <c r="C470" s="9" t="s">
        <v>97</v>
      </c>
      <c r="D470" s="26">
        <v>6052500</v>
      </c>
      <c r="E470" s="55">
        <v>9.24</v>
      </c>
      <c r="F470" s="6">
        <f>(D470*E470)/1000</f>
        <v>55925.1</v>
      </c>
    </row>
    <row r="471" spans="1:6" ht="12.75" customHeight="1">
      <c r="A471" s="7" t="s">
        <v>848</v>
      </c>
      <c r="B471" s="8" t="s">
        <v>735</v>
      </c>
      <c r="C471" s="9" t="s">
        <v>97</v>
      </c>
      <c r="D471" s="26">
        <v>1665353</v>
      </c>
      <c r="E471" s="55">
        <v>21.87</v>
      </c>
      <c r="F471" s="6">
        <f>(D471*E471)/1000</f>
        <v>36421.27011</v>
      </c>
    </row>
    <row r="472" spans="1:6" ht="12.75" customHeight="1">
      <c r="A472" s="7" t="s">
        <v>849</v>
      </c>
      <c r="B472" s="8" t="s">
        <v>124</v>
      </c>
      <c r="C472" s="9" t="s">
        <v>97</v>
      </c>
      <c r="D472" s="26">
        <v>1314800</v>
      </c>
      <c r="E472" s="55">
        <v>21.87</v>
      </c>
      <c r="F472" s="6">
        <f>(D472*E472)/1000</f>
        <v>28754.676</v>
      </c>
    </row>
    <row r="473" spans="1:6" ht="12.75" customHeight="1">
      <c r="A473" s="7" t="s">
        <v>267</v>
      </c>
      <c r="B473" s="8" t="s">
        <v>100</v>
      </c>
      <c r="C473" s="9" t="s">
        <v>239</v>
      </c>
      <c r="D473" s="26"/>
      <c r="E473" s="55"/>
      <c r="F473" s="6">
        <f>(D473*E473)/1000</f>
        <v>0</v>
      </c>
    </row>
    <row r="474" spans="1:6" ht="12.75" customHeight="1">
      <c r="A474" s="7" t="s">
        <v>268</v>
      </c>
      <c r="B474" s="28" t="s">
        <v>510</v>
      </c>
      <c r="C474" s="9" t="s">
        <v>11</v>
      </c>
      <c r="D474" s="26"/>
      <c r="E474" s="69"/>
      <c r="F474" s="6">
        <f>SUM(F475:F480)</f>
        <v>1669.1224620000003</v>
      </c>
    </row>
    <row r="475" spans="1:6" ht="12.75" customHeight="1">
      <c r="A475" s="7" t="s">
        <v>637</v>
      </c>
      <c r="B475" s="8" t="s">
        <v>511</v>
      </c>
      <c r="C475" s="9" t="s">
        <v>97</v>
      </c>
      <c r="D475" s="26">
        <v>22700</v>
      </c>
      <c r="E475" s="55">
        <v>14.54</v>
      </c>
      <c r="F475" s="6">
        <f aca="true" t="shared" si="4" ref="F475:F480">(D475*E475)/1000</f>
        <v>330.058</v>
      </c>
    </row>
    <row r="476" spans="1:6" ht="12.75" customHeight="1">
      <c r="A476" s="7" t="s">
        <v>638</v>
      </c>
      <c r="B476" s="8" t="s">
        <v>956</v>
      </c>
      <c r="C476" s="9" t="s">
        <v>102</v>
      </c>
      <c r="D476" s="26">
        <v>1151.8</v>
      </c>
      <c r="E476" s="55">
        <v>792.09</v>
      </c>
      <c r="F476" s="6">
        <f t="shared" si="4"/>
        <v>912.329262</v>
      </c>
    </row>
    <row r="477" spans="1:6" ht="12.75" customHeight="1">
      <c r="A477" s="7" t="s">
        <v>639</v>
      </c>
      <c r="B477" s="8" t="s">
        <v>971</v>
      </c>
      <c r="C477" s="9" t="s">
        <v>123</v>
      </c>
      <c r="D477" s="26">
        <v>2215</v>
      </c>
      <c r="E477" s="55">
        <v>63</v>
      </c>
      <c r="F477" s="6">
        <f t="shared" si="4"/>
        <v>139.545</v>
      </c>
    </row>
    <row r="478" spans="1:6" ht="12.75" customHeight="1">
      <c r="A478" s="7" t="s">
        <v>640</v>
      </c>
      <c r="B478" s="8" t="s">
        <v>507</v>
      </c>
      <c r="C478" s="9" t="s">
        <v>123</v>
      </c>
      <c r="D478" s="26">
        <v>2215</v>
      </c>
      <c r="E478" s="55">
        <v>21</v>
      </c>
      <c r="F478" s="6">
        <f t="shared" si="4"/>
        <v>46.515</v>
      </c>
    </row>
    <row r="479" spans="1:6" ht="12.75" customHeight="1">
      <c r="A479" s="7" t="s">
        <v>641</v>
      </c>
      <c r="B479" s="8" t="s">
        <v>508</v>
      </c>
      <c r="C479" s="9" t="s">
        <v>46</v>
      </c>
      <c r="D479" s="26">
        <f>830+240</f>
        <v>1070</v>
      </c>
      <c r="E479" s="55">
        <v>201.56</v>
      </c>
      <c r="F479" s="6">
        <f t="shared" si="4"/>
        <v>215.66920000000002</v>
      </c>
    </row>
    <row r="480" spans="1:6" ht="12.75" customHeight="1">
      <c r="A480" s="7" t="s">
        <v>946</v>
      </c>
      <c r="B480" s="8" t="s">
        <v>509</v>
      </c>
      <c r="C480" s="9" t="s">
        <v>46</v>
      </c>
      <c r="D480" s="26">
        <v>100</v>
      </c>
      <c r="E480" s="55">
        <v>250.06</v>
      </c>
      <c r="F480" s="6">
        <f t="shared" si="4"/>
        <v>25.006</v>
      </c>
    </row>
    <row r="481" spans="1:6" ht="12.75" customHeight="1">
      <c r="A481" s="7" t="s">
        <v>269</v>
      </c>
      <c r="B481" s="8" t="s">
        <v>976</v>
      </c>
      <c r="C481" s="9" t="s">
        <v>87</v>
      </c>
      <c r="D481" s="26">
        <v>1</v>
      </c>
      <c r="E481" s="27">
        <f>SUM(F468,F474)</f>
        <v>125896.300812</v>
      </c>
      <c r="F481" s="6">
        <f>E481*D481/100</f>
        <v>1258.96300812</v>
      </c>
    </row>
    <row r="482" spans="1:6" ht="12.75" customHeight="1">
      <c r="A482" s="7"/>
      <c r="B482" s="8"/>
      <c r="C482" s="9"/>
      <c r="D482" s="26"/>
      <c r="E482" s="27"/>
      <c r="F482" s="6"/>
    </row>
    <row r="483" spans="1:6" ht="12.75" customHeight="1">
      <c r="A483" s="7"/>
      <c r="B483" s="8" t="s">
        <v>156</v>
      </c>
      <c r="C483" s="9" t="s">
        <v>11</v>
      </c>
      <c r="D483" s="26"/>
      <c r="E483" s="27"/>
      <c r="F483" s="6">
        <f>(SUM(F166,F262,F340,F417)-F484)</f>
        <v>2269876.0255577024</v>
      </c>
    </row>
    <row r="484" spans="1:8" ht="12.75" customHeight="1">
      <c r="A484" s="7"/>
      <c r="B484" s="8" t="s">
        <v>158</v>
      </c>
      <c r="C484" s="9" t="s">
        <v>11</v>
      </c>
      <c r="D484" s="26"/>
      <c r="E484" s="27"/>
      <c r="F484" s="6">
        <f>SUM(F281,F321,F357,F385,F431,F450)</f>
        <v>324625.26003736</v>
      </c>
      <c r="H484" s="118"/>
    </row>
    <row r="485" spans="1:6" s="16" customFormat="1" ht="12.75" customHeight="1">
      <c r="A485" s="7"/>
      <c r="B485" s="8"/>
      <c r="C485" s="9"/>
      <c r="D485" s="26"/>
      <c r="E485" s="27"/>
      <c r="F485" s="6"/>
    </row>
    <row r="486" spans="1:6" ht="12.75" customHeight="1">
      <c r="A486" s="7" t="s">
        <v>159</v>
      </c>
      <c r="B486" s="8" t="s">
        <v>437</v>
      </c>
      <c r="C486" s="5" t="s">
        <v>87</v>
      </c>
      <c r="D486" s="5">
        <v>10</v>
      </c>
      <c r="E486" s="27"/>
      <c r="F486" s="6">
        <f>F483*D486/100</f>
        <v>226987.60255577025</v>
      </c>
    </row>
    <row r="487" spans="1:6" ht="12.75" customHeight="1">
      <c r="A487" s="7" t="s">
        <v>160</v>
      </c>
      <c r="B487" s="8" t="s">
        <v>438</v>
      </c>
      <c r="C487" s="5" t="s">
        <v>87</v>
      </c>
      <c r="D487" s="5">
        <v>10</v>
      </c>
      <c r="E487" s="27"/>
      <c r="F487" s="6">
        <f>F484*D487/100</f>
        <v>32462.526003736002</v>
      </c>
    </row>
    <row r="488" spans="1:6" ht="12.75" customHeight="1">
      <c r="A488" s="7"/>
      <c r="B488" s="8"/>
      <c r="C488" s="9"/>
      <c r="D488" s="9"/>
      <c r="E488" s="27"/>
      <c r="F488" s="6"/>
    </row>
    <row r="489" spans="1:6" ht="12.75" customHeight="1">
      <c r="A489" s="7" t="s">
        <v>161</v>
      </c>
      <c r="B489" s="8" t="s">
        <v>162</v>
      </c>
      <c r="C489" s="5" t="s">
        <v>11</v>
      </c>
      <c r="D489" s="5"/>
      <c r="E489" s="27"/>
      <c r="F489" s="6">
        <f>SUM(F490,F495,F500,F505,F510,F515)</f>
        <v>2663997.6</v>
      </c>
    </row>
    <row r="490" spans="1:6" ht="12.75" customHeight="1">
      <c r="A490" s="7" t="s">
        <v>163</v>
      </c>
      <c r="B490" s="75" t="s">
        <v>319</v>
      </c>
      <c r="C490" s="5" t="s">
        <v>11</v>
      </c>
      <c r="D490" s="26"/>
      <c r="E490" s="27"/>
      <c r="F490" s="6">
        <f>SUM(F491:F494)</f>
        <v>1201464</v>
      </c>
    </row>
    <row r="491" spans="1:8" ht="12.75" customHeight="1">
      <c r="A491" s="7" t="s">
        <v>164</v>
      </c>
      <c r="B491" s="8" t="s">
        <v>165</v>
      </c>
      <c r="C491" s="5" t="s">
        <v>113</v>
      </c>
      <c r="D491" s="26">
        <v>44</v>
      </c>
      <c r="E491" s="27">
        <v>22200000</v>
      </c>
      <c r="F491" s="6">
        <f>D491*E491/1000</f>
        <v>976800</v>
      </c>
      <c r="H491" s="118"/>
    </row>
    <row r="492" spans="1:6" ht="12.75" customHeight="1">
      <c r="A492" s="7" t="s">
        <v>166</v>
      </c>
      <c r="B492" s="8" t="s">
        <v>114</v>
      </c>
      <c r="C492" s="5" t="s">
        <v>11</v>
      </c>
      <c r="D492" s="26"/>
      <c r="E492" s="27"/>
      <c r="F492" s="6">
        <f>0.08*F491</f>
        <v>78144</v>
      </c>
    </row>
    <row r="493" spans="1:6" ht="12.75" customHeight="1">
      <c r="A493" s="7" t="s">
        <v>167</v>
      </c>
      <c r="B493" s="8" t="s">
        <v>115</v>
      </c>
      <c r="C493" s="5" t="s">
        <v>11</v>
      </c>
      <c r="D493" s="26"/>
      <c r="E493" s="27"/>
      <c r="F493" s="6">
        <f>F491*0.15</f>
        <v>146520</v>
      </c>
    </row>
    <row r="494" spans="1:6" ht="12.75" customHeight="1">
      <c r="A494" s="7" t="s">
        <v>168</v>
      </c>
      <c r="B494" s="8" t="s">
        <v>320</v>
      </c>
      <c r="C494" s="5" t="s">
        <v>11</v>
      </c>
      <c r="D494" s="26"/>
      <c r="E494" s="27"/>
      <c r="F494" s="6"/>
    </row>
    <row r="495" spans="1:6" ht="12.75" customHeight="1">
      <c r="A495" s="7" t="s">
        <v>270</v>
      </c>
      <c r="B495" s="75" t="s">
        <v>656</v>
      </c>
      <c r="C495" s="5" t="s">
        <v>11</v>
      </c>
      <c r="D495" s="26"/>
      <c r="E495" s="27"/>
      <c r="F495" s="6">
        <f>SUM(F496:F499)</f>
        <v>19000</v>
      </c>
    </row>
    <row r="496" spans="1:6" ht="12.75" customHeight="1">
      <c r="A496" s="7" t="s">
        <v>271</v>
      </c>
      <c r="B496" s="8" t="s">
        <v>112</v>
      </c>
      <c r="C496" s="9" t="s">
        <v>113</v>
      </c>
      <c r="D496" s="108">
        <v>8</v>
      </c>
      <c r="E496" s="27">
        <v>1500000</v>
      </c>
      <c r="F496" s="6">
        <f>D496*E496/1000</f>
        <v>12000</v>
      </c>
    </row>
    <row r="497" spans="1:6" ht="12.75" customHeight="1">
      <c r="A497" s="7" t="s">
        <v>272</v>
      </c>
      <c r="B497" s="8" t="s">
        <v>114</v>
      </c>
      <c r="C497" s="9" t="s">
        <v>11</v>
      </c>
      <c r="D497" s="26"/>
      <c r="E497" s="27"/>
      <c r="F497" s="6">
        <f>F496*0.08</f>
        <v>960</v>
      </c>
    </row>
    <row r="498" spans="1:6" ht="12.75" customHeight="1">
      <c r="A498" s="7" t="s">
        <v>273</v>
      </c>
      <c r="B498" s="8" t="s">
        <v>115</v>
      </c>
      <c r="C498" s="9" t="s">
        <v>11</v>
      </c>
      <c r="D498" s="26"/>
      <c r="E498" s="27"/>
      <c r="F498" s="6">
        <f>F496*0.1</f>
        <v>1200</v>
      </c>
    </row>
    <row r="499" spans="1:6" ht="12.75" customHeight="1">
      <c r="A499" s="7" t="s">
        <v>274</v>
      </c>
      <c r="B499" s="8" t="s">
        <v>424</v>
      </c>
      <c r="C499" s="5" t="s">
        <v>113</v>
      </c>
      <c r="D499" s="26">
        <v>44</v>
      </c>
      <c r="E499" s="27">
        <v>110000</v>
      </c>
      <c r="F499" s="6">
        <f>D499*E499/1000</f>
        <v>4840</v>
      </c>
    </row>
    <row r="500" spans="1:6" ht="12.75" customHeight="1">
      <c r="A500" s="7" t="s">
        <v>425</v>
      </c>
      <c r="B500" s="8" t="s">
        <v>659</v>
      </c>
      <c r="C500" s="5"/>
      <c r="D500" s="26"/>
      <c r="E500" s="27"/>
      <c r="F500" s="6">
        <f>SUM(F501:F504)</f>
        <v>221672</v>
      </c>
    </row>
    <row r="501" spans="1:6" ht="12.75" customHeight="1">
      <c r="A501" s="7" t="s">
        <v>426</v>
      </c>
      <c r="B501" s="8" t="s">
        <v>112</v>
      </c>
      <c r="C501" s="5" t="s">
        <v>113</v>
      </c>
      <c r="D501" s="26">
        <v>44</v>
      </c>
      <c r="E501" s="27">
        <v>4100000</v>
      </c>
      <c r="F501" s="6">
        <f>D501*E501/1000</f>
        <v>180400</v>
      </c>
    </row>
    <row r="502" spans="1:6" ht="12.75" customHeight="1">
      <c r="A502" s="7" t="s">
        <v>427</v>
      </c>
      <c r="B502" s="8" t="s">
        <v>114</v>
      </c>
      <c r="C502" s="5" t="s">
        <v>11</v>
      </c>
      <c r="D502" s="26"/>
      <c r="E502" s="27"/>
      <c r="F502" s="6">
        <f>F501*0.08</f>
        <v>14432</v>
      </c>
    </row>
    <row r="503" spans="1:6" ht="12.75" customHeight="1">
      <c r="A503" s="7" t="s">
        <v>428</v>
      </c>
      <c r="B503" s="8" t="s">
        <v>115</v>
      </c>
      <c r="C503" s="5" t="s">
        <v>11</v>
      </c>
      <c r="D503" s="26"/>
      <c r="E503" s="27"/>
      <c r="F503" s="6">
        <f>F501*0.1</f>
        <v>18040</v>
      </c>
    </row>
    <row r="504" spans="1:6" ht="12.75" customHeight="1">
      <c r="A504" s="7" t="s">
        <v>429</v>
      </c>
      <c r="B504" s="8" t="s">
        <v>424</v>
      </c>
      <c r="C504" s="5" t="s">
        <v>113</v>
      </c>
      <c r="D504" s="26">
        <v>44</v>
      </c>
      <c r="E504" s="27">
        <v>200000</v>
      </c>
      <c r="F504" s="6">
        <f>D504*E504/1000</f>
        <v>8800</v>
      </c>
    </row>
    <row r="505" spans="1:6" ht="12.75" customHeight="1">
      <c r="A505" s="7" t="s">
        <v>275</v>
      </c>
      <c r="B505" s="8" t="s">
        <v>658</v>
      </c>
      <c r="C505" s="5" t="s">
        <v>11</v>
      </c>
      <c r="D505" s="26"/>
      <c r="E505" s="70"/>
      <c r="F505" s="6">
        <f>SUM(F506:F509)</f>
        <v>5520</v>
      </c>
    </row>
    <row r="506" spans="1:6" ht="12.75" customHeight="1">
      <c r="A506" s="7" t="s">
        <v>276</v>
      </c>
      <c r="B506" s="8" t="s">
        <v>112</v>
      </c>
      <c r="C506" s="9" t="s">
        <v>113</v>
      </c>
      <c r="D506" s="26">
        <v>2</v>
      </c>
      <c r="E506" s="96">
        <v>2300000</v>
      </c>
      <c r="F506" s="6">
        <f>D506*E506/1000</f>
        <v>4600</v>
      </c>
    </row>
    <row r="507" spans="1:6" ht="12.75" customHeight="1">
      <c r="A507" s="7" t="s">
        <v>277</v>
      </c>
      <c r="B507" s="8" t="s">
        <v>114</v>
      </c>
      <c r="C507" s="9" t="s">
        <v>11</v>
      </c>
      <c r="D507" s="26" t="s">
        <v>443</v>
      </c>
      <c r="E507" s="27"/>
      <c r="F507" s="6">
        <f>F506*0.08</f>
        <v>368</v>
      </c>
    </row>
    <row r="508" spans="1:6" ht="12.75" customHeight="1">
      <c r="A508" s="7" t="s">
        <v>278</v>
      </c>
      <c r="B508" s="8" t="s">
        <v>115</v>
      </c>
      <c r="C508" s="9" t="s">
        <v>11</v>
      </c>
      <c r="D508" s="26"/>
      <c r="E508" s="27"/>
      <c r="F508" s="6">
        <f>F506*0.12</f>
        <v>552</v>
      </c>
    </row>
    <row r="509" spans="1:6" ht="12.75" customHeight="1">
      <c r="A509" s="7" t="s">
        <v>279</v>
      </c>
      <c r="B509" s="8" t="s">
        <v>321</v>
      </c>
      <c r="C509" s="5" t="s">
        <v>11</v>
      </c>
      <c r="D509" s="26"/>
      <c r="E509" s="27"/>
      <c r="F509" s="6"/>
    </row>
    <row r="510" spans="1:6" ht="12.75" customHeight="1">
      <c r="A510" s="7" t="s">
        <v>170</v>
      </c>
      <c r="B510" s="8" t="s">
        <v>171</v>
      </c>
      <c r="C510" s="5" t="s">
        <v>11</v>
      </c>
      <c r="D510" s="26"/>
      <c r="E510" s="27"/>
      <c r="F510" s="6">
        <f>SUM(F511:F514)</f>
        <v>974160</v>
      </c>
    </row>
    <row r="511" spans="1:6" ht="12.75" customHeight="1">
      <c r="A511" s="7" t="s">
        <v>172</v>
      </c>
      <c r="B511" s="8" t="s">
        <v>112</v>
      </c>
      <c r="C511" s="9" t="s">
        <v>113</v>
      </c>
      <c r="D511" s="26">
        <v>44</v>
      </c>
      <c r="E511" s="27">
        <v>18000000</v>
      </c>
      <c r="F511" s="6">
        <f>(D511*E511)/1000</f>
        <v>792000</v>
      </c>
    </row>
    <row r="512" spans="1:6" ht="12.75" customHeight="1">
      <c r="A512" s="7" t="s">
        <v>173</v>
      </c>
      <c r="B512" s="8" t="s">
        <v>114</v>
      </c>
      <c r="C512" s="9" t="s">
        <v>11</v>
      </c>
      <c r="D512" s="26"/>
      <c r="E512" s="27"/>
      <c r="F512" s="6">
        <f>F511*0.08</f>
        <v>63360</v>
      </c>
    </row>
    <row r="513" spans="1:6" ht="12.75" customHeight="1">
      <c r="A513" s="7" t="s">
        <v>174</v>
      </c>
      <c r="B513" s="8" t="s">
        <v>115</v>
      </c>
      <c r="C513" s="9" t="s">
        <v>11</v>
      </c>
      <c r="D513" s="26"/>
      <c r="E513" s="27"/>
      <c r="F513" s="6">
        <f>F511*0.15</f>
        <v>118800</v>
      </c>
    </row>
    <row r="514" spans="1:6" ht="12.75" customHeight="1">
      <c r="A514" s="7" t="s">
        <v>175</v>
      </c>
      <c r="B514" s="8" t="s">
        <v>169</v>
      </c>
      <c r="C514" s="5" t="s">
        <v>87</v>
      </c>
      <c r="D514" s="26"/>
      <c r="E514" s="73"/>
      <c r="F514" s="6">
        <f>((F511+F512+F513)*D514)/100</f>
        <v>0</v>
      </c>
    </row>
    <row r="515" spans="1:6" ht="12.75" customHeight="1">
      <c r="A515" s="3" t="s">
        <v>176</v>
      </c>
      <c r="B515" s="4" t="s">
        <v>657</v>
      </c>
      <c r="C515" s="5" t="s">
        <v>87</v>
      </c>
      <c r="D515" s="26">
        <v>10</v>
      </c>
      <c r="E515" s="27"/>
      <c r="F515" s="6">
        <f>(SUM(F495,F500,F505,F510,F490)*D515/100)</f>
        <v>242181.6</v>
      </c>
    </row>
    <row r="516" spans="1:6" ht="12.75" customHeight="1">
      <c r="A516" s="3"/>
      <c r="B516" s="4"/>
      <c r="C516" s="5"/>
      <c r="D516" s="26"/>
      <c r="E516" s="27"/>
      <c r="F516" s="6"/>
    </row>
    <row r="517" spans="1:6" ht="12.75" customHeight="1">
      <c r="A517" s="7" t="s">
        <v>177</v>
      </c>
      <c r="B517" s="8" t="s">
        <v>178</v>
      </c>
      <c r="C517" s="9" t="s">
        <v>11</v>
      </c>
      <c r="D517" s="9"/>
      <c r="E517" s="27"/>
      <c r="F517" s="6">
        <f>SUM(F518:F522)</f>
        <v>319287.3643311038</v>
      </c>
    </row>
    <row r="518" spans="1:6" ht="12.75" customHeight="1">
      <c r="A518" s="7" t="s">
        <v>179</v>
      </c>
      <c r="B518" s="8" t="s">
        <v>112</v>
      </c>
      <c r="C518" s="5" t="s">
        <v>87</v>
      </c>
      <c r="D518" s="5"/>
      <c r="E518" s="55"/>
      <c r="F518" s="6">
        <f>(1.1*170000*75/71.5*1.05)/46*44</f>
        <v>197006.68896321076</v>
      </c>
    </row>
    <row r="519" spans="1:6" ht="12.75" customHeight="1">
      <c r="A519" s="7" t="s">
        <v>180</v>
      </c>
      <c r="B519" s="8" t="s">
        <v>114</v>
      </c>
      <c r="C519" s="9" t="s">
        <v>11</v>
      </c>
      <c r="D519" s="9"/>
      <c r="E519" s="27"/>
      <c r="F519" s="6">
        <f>0.06*F518</f>
        <v>11820.401337792646</v>
      </c>
    </row>
    <row r="520" spans="1:6" ht="12.75" customHeight="1">
      <c r="A520" s="7" t="s">
        <v>181</v>
      </c>
      <c r="B520" s="8" t="s">
        <v>115</v>
      </c>
      <c r="C520" s="9" t="s">
        <v>11</v>
      </c>
      <c r="D520" s="9"/>
      <c r="E520" s="27"/>
      <c r="F520" s="6">
        <v>81434.15</v>
      </c>
    </row>
    <row r="521" spans="1:6" ht="12.75" customHeight="1">
      <c r="A521" s="7" t="s">
        <v>182</v>
      </c>
      <c r="B521" s="8" t="s">
        <v>169</v>
      </c>
      <c r="C521" s="5" t="s">
        <v>11</v>
      </c>
      <c r="D521" s="5"/>
      <c r="E521" s="27"/>
      <c r="F521" s="6"/>
    </row>
    <row r="522" spans="1:6" ht="12.75" customHeight="1">
      <c r="A522" s="7" t="s">
        <v>183</v>
      </c>
      <c r="B522" s="4" t="s">
        <v>442</v>
      </c>
      <c r="C522" s="9" t="s">
        <v>87</v>
      </c>
      <c r="D522" s="9">
        <v>10</v>
      </c>
      <c r="E522" s="27"/>
      <c r="F522" s="6">
        <f>(SUM(F518,F519,F520,F521)*D522/100)</f>
        <v>29026.124030100345</v>
      </c>
    </row>
    <row r="523" spans="1:6" ht="12.75" customHeight="1">
      <c r="A523" s="3"/>
      <c r="B523" s="4"/>
      <c r="C523" s="5"/>
      <c r="D523" s="5"/>
      <c r="E523" s="27"/>
      <c r="F523" s="6"/>
    </row>
    <row r="524" spans="1:6" ht="12.75" customHeight="1">
      <c r="A524" s="7" t="s">
        <v>184</v>
      </c>
      <c r="B524" s="8" t="s">
        <v>185</v>
      </c>
      <c r="C524" s="5" t="s">
        <v>11</v>
      </c>
      <c r="D524" s="5"/>
      <c r="E524" s="27"/>
      <c r="F524" s="6">
        <f>SUM(F525,F530,F535,F540,F547,F545:F546)</f>
        <v>342800.5675</v>
      </c>
    </row>
    <row r="525" spans="1:6" ht="12.75" customHeight="1">
      <c r="A525" s="7" t="s">
        <v>186</v>
      </c>
      <c r="B525" s="8" t="s">
        <v>430</v>
      </c>
      <c r="C525" s="5" t="s">
        <v>11</v>
      </c>
      <c r="D525" s="5"/>
      <c r="E525" s="27"/>
      <c r="F525" s="6">
        <f>SUM(F526:F529)</f>
        <v>8040</v>
      </c>
    </row>
    <row r="526" spans="1:8" ht="12.75" customHeight="1">
      <c r="A526" s="7" t="s">
        <v>187</v>
      </c>
      <c r="B526" s="8" t="s">
        <v>112</v>
      </c>
      <c r="C526" s="9" t="s">
        <v>113</v>
      </c>
      <c r="D526" s="26">
        <v>2</v>
      </c>
      <c r="E526" s="27">
        <v>3000000</v>
      </c>
      <c r="F526" s="6">
        <f>D526*E526/1000</f>
        <v>6000</v>
      </c>
      <c r="H526" s="118"/>
    </row>
    <row r="527" spans="1:8" ht="12.75" customHeight="1">
      <c r="A527" s="7" t="s">
        <v>188</v>
      </c>
      <c r="B527" s="8" t="s">
        <v>114</v>
      </c>
      <c r="C527" s="9" t="s">
        <v>11</v>
      </c>
      <c r="D527" s="26"/>
      <c r="E527" s="27"/>
      <c r="F527" s="6">
        <f>F526*0.08</f>
        <v>480</v>
      </c>
      <c r="H527" s="118"/>
    </row>
    <row r="528" spans="1:6" ht="12.75" customHeight="1">
      <c r="A528" s="7" t="s">
        <v>189</v>
      </c>
      <c r="B528" s="8" t="s">
        <v>115</v>
      </c>
      <c r="C528" s="9" t="s">
        <v>11</v>
      </c>
      <c r="D528" s="26"/>
      <c r="E528" s="27"/>
      <c r="F528" s="6">
        <f>F526*0.12</f>
        <v>720</v>
      </c>
    </row>
    <row r="529" spans="1:6" ht="12.75" customHeight="1">
      <c r="A529" s="7" t="s">
        <v>190</v>
      </c>
      <c r="B529" s="8" t="s">
        <v>169</v>
      </c>
      <c r="C529" s="5" t="s">
        <v>11</v>
      </c>
      <c r="D529" s="26"/>
      <c r="E529" s="27"/>
      <c r="F529" s="6">
        <f>0.14*F526</f>
        <v>840.0000000000001</v>
      </c>
    </row>
    <row r="530" spans="1:6" ht="12.75" customHeight="1">
      <c r="A530" s="7" t="s">
        <v>388</v>
      </c>
      <c r="B530" s="8" t="s">
        <v>660</v>
      </c>
      <c r="C530" s="5" t="s">
        <v>11</v>
      </c>
      <c r="D530" s="26"/>
      <c r="E530" s="27"/>
      <c r="F530" s="6">
        <f>SUM(F531:F534)</f>
        <v>912</v>
      </c>
    </row>
    <row r="531" spans="1:6" ht="12.75" customHeight="1">
      <c r="A531" s="7" t="s">
        <v>389</v>
      </c>
      <c r="B531" s="8" t="s">
        <v>112</v>
      </c>
      <c r="C531" s="9" t="s">
        <v>113</v>
      </c>
      <c r="D531" s="91">
        <v>1</v>
      </c>
      <c r="E531" s="27">
        <v>760000</v>
      </c>
      <c r="F531" s="6">
        <f>D531*E531/1000</f>
        <v>760</v>
      </c>
    </row>
    <row r="532" spans="1:6" ht="12.75" customHeight="1">
      <c r="A532" s="7" t="s">
        <v>390</v>
      </c>
      <c r="B532" s="8" t="s">
        <v>114</v>
      </c>
      <c r="C532" s="9" t="s">
        <v>11</v>
      </c>
      <c r="D532" s="26"/>
      <c r="E532" s="27"/>
      <c r="F532" s="6">
        <f>F531*0.08</f>
        <v>60.800000000000004</v>
      </c>
    </row>
    <row r="533" spans="1:6" ht="12.75" customHeight="1">
      <c r="A533" s="7" t="s">
        <v>391</v>
      </c>
      <c r="B533" s="8" t="s">
        <v>115</v>
      </c>
      <c r="C533" s="9" t="s">
        <v>11</v>
      </c>
      <c r="D533" s="26"/>
      <c r="E533" s="27"/>
      <c r="F533" s="6">
        <f>F531*0.12</f>
        <v>91.2</v>
      </c>
    </row>
    <row r="534" spans="1:6" ht="12.75" customHeight="1">
      <c r="A534" s="7" t="s">
        <v>392</v>
      </c>
      <c r="B534" s="8" t="s">
        <v>169</v>
      </c>
      <c r="C534" s="5" t="s">
        <v>11</v>
      </c>
      <c r="D534" s="26"/>
      <c r="E534" s="27"/>
      <c r="F534" s="6"/>
    </row>
    <row r="535" spans="1:6" ht="12.75" customHeight="1">
      <c r="A535" s="7" t="s">
        <v>431</v>
      </c>
      <c r="B535" s="8" t="s">
        <v>646</v>
      </c>
      <c r="C535" s="5" t="s">
        <v>11</v>
      </c>
      <c r="D535" s="26"/>
      <c r="E535" s="27"/>
      <c r="F535" s="6">
        <f>SUM(F536:F539)</f>
        <v>3497.4</v>
      </c>
    </row>
    <row r="536" spans="1:6" ht="12.75" customHeight="1">
      <c r="A536" s="7" t="s">
        <v>432</v>
      </c>
      <c r="B536" s="8" t="s">
        <v>112</v>
      </c>
      <c r="C536" s="5" t="s">
        <v>113</v>
      </c>
      <c r="D536" s="26">
        <v>3</v>
      </c>
      <c r="E536" s="27">
        <v>870000</v>
      </c>
      <c r="F536" s="6">
        <f>D536*E536/1000</f>
        <v>2610</v>
      </c>
    </row>
    <row r="537" spans="1:6" ht="12.75" customHeight="1">
      <c r="A537" s="7" t="s">
        <v>433</v>
      </c>
      <c r="B537" s="8" t="s">
        <v>114</v>
      </c>
      <c r="C537" s="5" t="s">
        <v>11</v>
      </c>
      <c r="D537" s="26"/>
      <c r="E537" s="27"/>
      <c r="F537" s="6">
        <f>F536*0.08</f>
        <v>208.8</v>
      </c>
    </row>
    <row r="538" spans="1:6" ht="12.75" customHeight="1">
      <c r="A538" s="7" t="s">
        <v>434</v>
      </c>
      <c r="B538" s="8" t="s">
        <v>115</v>
      </c>
      <c r="C538" s="5" t="s">
        <v>11</v>
      </c>
      <c r="D538" s="26"/>
      <c r="E538" s="27"/>
      <c r="F538" s="6">
        <f>F536*0.12</f>
        <v>313.2</v>
      </c>
    </row>
    <row r="539" spans="1:6" ht="12.75" customHeight="1">
      <c r="A539" s="7" t="s">
        <v>435</v>
      </c>
      <c r="B539" s="8" t="s">
        <v>169</v>
      </c>
      <c r="C539" s="5" t="s">
        <v>11</v>
      </c>
      <c r="D539" s="26"/>
      <c r="E539" s="27"/>
      <c r="F539" s="6">
        <f>F536*0.14</f>
        <v>365.40000000000003</v>
      </c>
    </row>
    <row r="540" spans="1:6" ht="12.75" customHeight="1">
      <c r="A540" s="7" t="s">
        <v>191</v>
      </c>
      <c r="B540" s="8" t="s">
        <v>322</v>
      </c>
      <c r="C540" s="5" t="s">
        <v>11</v>
      </c>
      <c r="D540" s="26"/>
      <c r="E540" s="27"/>
      <c r="F540" s="6">
        <f>SUM(F541:F544)</f>
        <v>270600</v>
      </c>
    </row>
    <row r="541" spans="1:6" ht="12.75" customHeight="1">
      <c r="A541" s="7" t="s">
        <v>192</v>
      </c>
      <c r="B541" s="8" t="s">
        <v>112</v>
      </c>
      <c r="C541" s="5" t="s">
        <v>113</v>
      </c>
      <c r="D541" s="26">
        <v>1</v>
      </c>
      <c r="E541" s="55">
        <v>220000000</v>
      </c>
      <c r="F541" s="6">
        <f>D541*E541/1000</f>
        <v>220000</v>
      </c>
    </row>
    <row r="542" spans="1:6" ht="12.75" customHeight="1">
      <c r="A542" s="7" t="s">
        <v>193</v>
      </c>
      <c r="B542" s="8" t="s">
        <v>114</v>
      </c>
      <c r="C542" s="9" t="s">
        <v>11</v>
      </c>
      <c r="D542" s="26"/>
      <c r="E542" s="55"/>
      <c r="F542" s="6">
        <f>0.08*F541</f>
        <v>17600</v>
      </c>
    </row>
    <row r="543" spans="1:6" ht="12.75" customHeight="1">
      <c r="A543" s="7" t="s">
        <v>194</v>
      </c>
      <c r="B543" s="8" t="s">
        <v>115</v>
      </c>
      <c r="C543" s="9" t="s">
        <v>11</v>
      </c>
      <c r="D543" s="26"/>
      <c r="E543" s="55"/>
      <c r="F543" s="6">
        <f>F541*0.15</f>
        <v>33000</v>
      </c>
    </row>
    <row r="544" spans="1:6" ht="12.75" customHeight="1">
      <c r="A544" s="7" t="s">
        <v>195</v>
      </c>
      <c r="B544" s="8" t="s">
        <v>169</v>
      </c>
      <c r="C544" s="5" t="s">
        <v>87</v>
      </c>
      <c r="D544" s="26"/>
      <c r="E544" s="27"/>
      <c r="F544" s="6">
        <f>(D544*(F541+F542+F543)/100)</f>
        <v>0</v>
      </c>
    </row>
    <row r="545" spans="1:6" ht="12.75" customHeight="1">
      <c r="A545" s="7" t="s">
        <v>884</v>
      </c>
      <c r="B545" s="8" t="s">
        <v>883</v>
      </c>
      <c r="C545" s="5" t="s">
        <v>11</v>
      </c>
      <c r="D545" s="26"/>
      <c r="E545" s="27"/>
      <c r="F545" s="6">
        <v>10498.25</v>
      </c>
    </row>
    <row r="546" spans="1:6" ht="12.75" customHeight="1">
      <c r="A546" s="7" t="s">
        <v>885</v>
      </c>
      <c r="B546" s="8" t="s">
        <v>878</v>
      </c>
      <c r="C546" s="5" t="s">
        <v>11</v>
      </c>
      <c r="D546" s="26"/>
      <c r="E546" s="27"/>
      <c r="F546" s="6">
        <v>4539.8</v>
      </c>
    </row>
    <row r="547" spans="1:6" ht="12.75" customHeight="1">
      <c r="A547" s="7" t="s">
        <v>196</v>
      </c>
      <c r="B547" s="161" t="s">
        <v>441</v>
      </c>
      <c r="C547" s="9" t="s">
        <v>87</v>
      </c>
      <c r="D547" s="26">
        <v>15</v>
      </c>
      <c r="E547" s="27"/>
      <c r="F547" s="132">
        <f>0.15*(F525+F530+F535+F545+F546)+0.15*F540</f>
        <v>44713.1175</v>
      </c>
    </row>
    <row r="548" spans="1:6" ht="12.75" customHeight="1">
      <c r="A548" s="3"/>
      <c r="B548" s="4"/>
      <c r="C548" s="5"/>
      <c r="D548" s="26"/>
      <c r="E548" s="27"/>
      <c r="F548" s="6"/>
    </row>
    <row r="549" spans="1:6" ht="12.75" customHeight="1">
      <c r="A549" s="7" t="s">
        <v>197</v>
      </c>
      <c r="B549" s="8" t="s">
        <v>198</v>
      </c>
      <c r="C549" s="5" t="s">
        <v>11</v>
      </c>
      <c r="D549" s="5"/>
      <c r="E549" s="27"/>
      <c r="F549" s="6">
        <f>SUM(F550:F554)</f>
        <v>28510.947211999995</v>
      </c>
    </row>
    <row r="550" spans="1:6" ht="12.75" customHeight="1">
      <c r="A550" s="7" t="s">
        <v>199</v>
      </c>
      <c r="B550" s="8" t="s">
        <v>978</v>
      </c>
      <c r="C550" s="9" t="s">
        <v>42</v>
      </c>
      <c r="D550" s="26">
        <v>8</v>
      </c>
      <c r="E550" s="27">
        <v>797567.44</v>
      </c>
      <c r="F550" s="6">
        <f>(D550*E550)/1000</f>
        <v>6380.539519999999</v>
      </c>
    </row>
    <row r="551" spans="1:6" ht="12.75" customHeight="1">
      <c r="A551" s="7" t="s">
        <v>200</v>
      </c>
      <c r="B551" s="8" t="s">
        <v>44</v>
      </c>
      <c r="C551" s="9" t="s">
        <v>42</v>
      </c>
      <c r="D551" s="26"/>
      <c r="E551" s="27"/>
      <c r="F551" s="6">
        <f>(D551*E551)/1000</f>
        <v>0</v>
      </c>
    </row>
    <row r="552" spans="1:6" ht="12.75" customHeight="1">
      <c r="A552" s="7" t="s">
        <v>201</v>
      </c>
      <c r="B552" s="8" t="s">
        <v>45</v>
      </c>
      <c r="C552" s="9" t="s">
        <v>46</v>
      </c>
      <c r="D552" s="26"/>
      <c r="E552" s="27"/>
      <c r="F552" s="6">
        <f>(D552*E552)/1000</f>
        <v>0</v>
      </c>
    </row>
    <row r="553" spans="1:6" ht="12.75" customHeight="1">
      <c r="A553" s="7" t="s">
        <v>202</v>
      </c>
      <c r="B553" s="8" t="s">
        <v>977</v>
      </c>
      <c r="C553" s="9" t="s">
        <v>11</v>
      </c>
      <c r="D553" s="26">
        <v>1</v>
      </c>
      <c r="E553" s="27">
        <v>19538503.4</v>
      </c>
      <c r="F553" s="6">
        <f>(D553*E553)/1000</f>
        <v>19538.503399999998</v>
      </c>
    </row>
    <row r="554" spans="1:6" ht="12.75" customHeight="1">
      <c r="A554" s="7" t="s">
        <v>203</v>
      </c>
      <c r="B554" s="8" t="s">
        <v>661</v>
      </c>
      <c r="C554" s="5" t="s">
        <v>87</v>
      </c>
      <c r="D554" s="26">
        <v>10</v>
      </c>
      <c r="E554" s="27"/>
      <c r="F554" s="6">
        <f>(SUM(F550:F553)*D554/100)</f>
        <v>2591.9042919999997</v>
      </c>
    </row>
    <row r="555" spans="1:6" ht="12.75" customHeight="1">
      <c r="A555" s="3"/>
      <c r="B555" s="4"/>
      <c r="C555" s="5"/>
      <c r="D555" s="26"/>
      <c r="E555" s="27"/>
      <c r="F555" s="6"/>
    </row>
    <row r="556" spans="1:6" ht="12.75" customHeight="1">
      <c r="A556" s="7"/>
      <c r="B556" s="8" t="s">
        <v>204</v>
      </c>
      <c r="C556" s="5" t="s">
        <v>157</v>
      </c>
      <c r="D556" s="26"/>
      <c r="E556" s="27"/>
      <c r="F556" s="30">
        <f>SUM(F15,F129,F165,F489,F517,F524,F549)</f>
        <v>7831268.257356105</v>
      </c>
    </row>
    <row r="557" spans="1:6" ht="12.75" customHeight="1">
      <c r="A557" s="3"/>
      <c r="B557" s="4"/>
      <c r="C557" s="5"/>
      <c r="D557" s="26"/>
      <c r="E557" s="27"/>
      <c r="F557" s="6"/>
    </row>
    <row r="558" spans="1:6" ht="12.75" customHeight="1">
      <c r="A558" s="7" t="s">
        <v>205</v>
      </c>
      <c r="B558" s="8" t="s">
        <v>206</v>
      </c>
      <c r="C558" s="9" t="s">
        <v>11</v>
      </c>
      <c r="D558" s="9"/>
      <c r="E558" s="27"/>
      <c r="F558" s="6">
        <f>SUM(F559,F562,F568)</f>
        <v>1468808.131231879</v>
      </c>
    </row>
    <row r="559" spans="1:6" ht="12.75" customHeight="1">
      <c r="A559" s="7" t="s">
        <v>207</v>
      </c>
      <c r="B559" s="8" t="s">
        <v>208</v>
      </c>
      <c r="C559" s="9" t="s">
        <v>11</v>
      </c>
      <c r="D559" s="76"/>
      <c r="E559" s="27"/>
      <c r="F559" s="6">
        <f>SUM(F560:F561)</f>
        <v>747935</v>
      </c>
    </row>
    <row r="560" spans="1:6" ht="12.75" customHeight="1">
      <c r="A560" s="7" t="s">
        <v>209</v>
      </c>
      <c r="B560" s="8" t="s">
        <v>210</v>
      </c>
      <c r="C560" s="9" t="s">
        <v>11</v>
      </c>
      <c r="D560" s="76"/>
      <c r="E560" s="27"/>
      <c r="F560" s="6">
        <v>548339</v>
      </c>
    </row>
    <row r="561" spans="1:6" ht="12.75" customHeight="1">
      <c r="A561" s="7" t="s">
        <v>211</v>
      </c>
      <c r="B561" s="8" t="s">
        <v>212</v>
      </c>
      <c r="C561" s="9" t="s">
        <v>11</v>
      </c>
      <c r="D561" s="76"/>
      <c r="E561" s="27"/>
      <c r="F561" s="6">
        <v>199596</v>
      </c>
    </row>
    <row r="562" spans="1:6" ht="12.75" customHeight="1">
      <c r="A562" s="7" t="s">
        <v>213</v>
      </c>
      <c r="B562" s="8" t="s">
        <v>214</v>
      </c>
      <c r="C562" s="9" t="s">
        <v>11</v>
      </c>
      <c r="D562" s="76"/>
      <c r="E562" s="27"/>
      <c r="F562" s="6">
        <f>SUM(F563,F567)</f>
        <v>587345.119301708</v>
      </c>
    </row>
    <row r="563" spans="1:6" ht="12.75" customHeight="1">
      <c r="A563" s="7" t="s">
        <v>215</v>
      </c>
      <c r="B563" s="8" t="s">
        <v>436</v>
      </c>
      <c r="C563" s="9"/>
      <c r="D563" s="76"/>
      <c r="E563" s="27"/>
      <c r="F563" s="6">
        <f>SUM(F564:F566)</f>
        <v>391563.4128678053</v>
      </c>
    </row>
    <row r="564" spans="1:6" ht="12.75" customHeight="1">
      <c r="A564" s="7" t="s">
        <v>216</v>
      </c>
      <c r="B564" s="8" t="s">
        <v>979</v>
      </c>
      <c r="C564" s="9" t="s">
        <v>87</v>
      </c>
      <c r="D564" s="76">
        <v>4.5</v>
      </c>
      <c r="E564" s="27"/>
      <c r="F564" s="6">
        <f>F556*D564/100</f>
        <v>352407.07158102473</v>
      </c>
    </row>
    <row r="565" spans="1:6" ht="12.75" customHeight="1">
      <c r="A565" s="7" t="s">
        <v>217</v>
      </c>
      <c r="B565" s="8" t="s">
        <v>218</v>
      </c>
      <c r="C565" s="9" t="s">
        <v>87</v>
      </c>
      <c r="D565" s="76">
        <v>0.5</v>
      </c>
      <c r="E565" s="27"/>
      <c r="F565" s="6">
        <f>F556*D565/100</f>
        <v>39156.341286780524</v>
      </c>
    </row>
    <row r="566" spans="1:6" ht="12.75" customHeight="1">
      <c r="A566" s="7" t="s">
        <v>219</v>
      </c>
      <c r="B566" s="4" t="s">
        <v>980</v>
      </c>
      <c r="C566" s="9" t="s">
        <v>11</v>
      </c>
      <c r="D566" s="76"/>
      <c r="E566" s="27"/>
      <c r="F566" s="6">
        <v>0</v>
      </c>
    </row>
    <row r="567" spans="1:6" ht="12.75" customHeight="1">
      <c r="A567" s="7" t="s">
        <v>220</v>
      </c>
      <c r="B567" s="8" t="s">
        <v>221</v>
      </c>
      <c r="C567" s="9" t="s">
        <v>87</v>
      </c>
      <c r="D567" s="76">
        <v>2.5</v>
      </c>
      <c r="E567" s="27"/>
      <c r="F567" s="6">
        <f>F556*D567/100</f>
        <v>195781.70643390264</v>
      </c>
    </row>
    <row r="568" spans="1:6" ht="12.75" customHeight="1">
      <c r="A568" s="7" t="s">
        <v>222</v>
      </c>
      <c r="B568" s="8" t="s">
        <v>223</v>
      </c>
      <c r="C568" s="9" t="s">
        <v>87</v>
      </c>
      <c r="D568" s="76">
        <v>10</v>
      </c>
      <c r="E568" s="27"/>
      <c r="F568" s="6">
        <f>(SUM(F559,F562)*D568/100)</f>
        <v>133528.01193017082</v>
      </c>
    </row>
    <row r="569" spans="1:6" ht="12.75" customHeight="1">
      <c r="A569" s="3"/>
      <c r="B569" s="4"/>
      <c r="C569" s="5"/>
      <c r="D569" s="76"/>
      <c r="E569" s="27"/>
      <c r="F569" s="6"/>
    </row>
    <row r="570" spans="1:6" ht="12.75" customHeight="1">
      <c r="A570" s="7"/>
      <c r="B570" s="8" t="s">
        <v>224</v>
      </c>
      <c r="C570" s="5" t="s">
        <v>157</v>
      </c>
      <c r="D570" s="26"/>
      <c r="E570" s="27"/>
      <c r="F570" s="90">
        <f>SUM(F556,F558)</f>
        <v>9300076.388587985</v>
      </c>
    </row>
    <row r="571" spans="1:6" ht="12.75" customHeight="1">
      <c r="A571" s="7"/>
      <c r="B571" s="8"/>
      <c r="C571" s="5"/>
      <c r="D571" s="26"/>
      <c r="E571" s="27"/>
      <c r="F571" s="6"/>
    </row>
    <row r="572" spans="1:6" ht="12.75" customHeight="1">
      <c r="A572" s="7" t="s">
        <v>225</v>
      </c>
      <c r="B572" s="8" t="s">
        <v>226</v>
      </c>
      <c r="C572" s="5" t="s">
        <v>11</v>
      </c>
      <c r="D572" s="5"/>
      <c r="E572" s="27"/>
      <c r="F572" s="6">
        <v>950000</v>
      </c>
    </row>
    <row r="573" spans="1:6" ht="12.75" customHeight="1" thickBot="1">
      <c r="A573" s="81"/>
      <c r="B573" s="82"/>
      <c r="C573" s="83"/>
      <c r="D573" s="84"/>
      <c r="E573" s="85"/>
      <c r="F573" s="86"/>
    </row>
    <row r="574" spans="1:6" ht="12.75" customHeight="1" thickTop="1">
      <c r="A574" s="31"/>
      <c r="B574" s="32" t="s">
        <v>281</v>
      </c>
      <c r="C574" s="33"/>
      <c r="D574" s="34"/>
      <c r="E574" s="35"/>
      <c r="F574" s="36">
        <f>(SUM(F570,F572))</f>
        <v>10250076.388587985</v>
      </c>
    </row>
    <row r="575" spans="1:6" ht="14.25" customHeight="1">
      <c r="A575" s="37"/>
      <c r="B575" s="38" t="s">
        <v>282</v>
      </c>
      <c r="C575" s="39"/>
      <c r="D575" s="89"/>
      <c r="E575" s="41"/>
      <c r="F575" s="42">
        <f>F574/F9</f>
        <v>3360680.783143602</v>
      </c>
    </row>
    <row r="576" spans="1:6" ht="12.75" customHeight="1">
      <c r="A576" s="43"/>
      <c r="B576" s="38" t="s">
        <v>227</v>
      </c>
      <c r="C576" s="39"/>
      <c r="D576" s="40"/>
      <c r="E576" s="41"/>
      <c r="F576" s="42">
        <v>3300000</v>
      </c>
    </row>
    <row r="577" spans="1:6" ht="12.75" customHeight="1">
      <c r="A577" s="48"/>
      <c r="B577" s="38" t="s">
        <v>283</v>
      </c>
      <c r="C577" s="49"/>
      <c r="D577" s="50"/>
      <c r="E577" s="51"/>
      <c r="F577" s="42">
        <f>F574*1000/F576</f>
        <v>3106.0837541175715</v>
      </c>
    </row>
    <row r="578" spans="1:6" ht="12.75" customHeight="1" thickBot="1">
      <c r="A578" s="44"/>
      <c r="B578" s="52" t="s">
        <v>228</v>
      </c>
      <c r="C578" s="45"/>
      <c r="D578" s="46"/>
      <c r="E578" s="47"/>
      <c r="F578" s="53">
        <f>F575*1000/F576</f>
        <v>1018.3881161041218</v>
      </c>
    </row>
    <row r="579" spans="1:6" ht="12.75" customHeight="1" thickTop="1">
      <c r="A579" s="162" t="s">
        <v>677</v>
      </c>
      <c r="B579" s="133" t="s">
        <v>675</v>
      </c>
      <c r="C579" s="133"/>
      <c r="D579" s="133"/>
      <c r="E579" s="133"/>
      <c r="F579" s="134">
        <f>F580+F591+F623+F602+F640+F641</f>
        <v>528245.664798016</v>
      </c>
    </row>
    <row r="580" spans="1:6" ht="12.75" customHeight="1">
      <c r="A580" s="105" t="s">
        <v>678</v>
      </c>
      <c r="B580" s="148" t="s">
        <v>676</v>
      </c>
      <c r="C580" s="95" t="s">
        <v>11</v>
      </c>
      <c r="D580" s="135"/>
      <c r="E580" s="96"/>
      <c r="F580" s="97">
        <f>SUM(F581,F584)</f>
        <v>50401.54176</v>
      </c>
    </row>
    <row r="581" spans="1:6" ht="12.75" customHeight="1">
      <c r="A581" s="105" t="s">
        <v>679</v>
      </c>
      <c r="B581" s="8" t="s">
        <v>94</v>
      </c>
      <c r="C581" s="9" t="s">
        <v>11</v>
      </c>
      <c r="D581" s="26"/>
      <c r="E581" s="27"/>
      <c r="F581" s="6">
        <f>SUM(F582:F583)</f>
        <v>36736.3923</v>
      </c>
    </row>
    <row r="582" spans="1:6" ht="12.75" customHeight="1">
      <c r="A582" s="105" t="s">
        <v>680</v>
      </c>
      <c r="B582" s="8" t="s">
        <v>96</v>
      </c>
      <c r="C582" s="9" t="s">
        <v>97</v>
      </c>
      <c r="D582" s="26">
        <v>1657225</v>
      </c>
      <c r="E582" s="27">
        <v>9.24</v>
      </c>
      <c r="F582" s="6">
        <f>(D582*E582)/1000</f>
        <v>15312.759</v>
      </c>
    </row>
    <row r="583" spans="1:6" ht="12.75" customHeight="1">
      <c r="A583" s="105" t="s">
        <v>681</v>
      </c>
      <c r="B583" s="8" t="s">
        <v>124</v>
      </c>
      <c r="C583" s="9" t="s">
        <v>97</v>
      </c>
      <c r="D583" s="26">
        <v>979590</v>
      </c>
      <c r="E583" s="27">
        <v>21.87</v>
      </c>
      <c r="F583" s="6">
        <f>(D583*E583)/1000</f>
        <v>21423.6333</v>
      </c>
    </row>
    <row r="584" spans="1:6" ht="12.75" customHeight="1">
      <c r="A584" s="105" t="s">
        <v>711</v>
      </c>
      <c r="B584" s="28" t="s">
        <v>510</v>
      </c>
      <c r="C584" s="9" t="s">
        <v>11</v>
      </c>
      <c r="D584" s="26"/>
      <c r="E584" s="27"/>
      <c r="F584" s="6">
        <f>SUM(F585:F590)</f>
        <v>13665.149460000002</v>
      </c>
    </row>
    <row r="585" spans="1:6" ht="12.75" customHeight="1">
      <c r="A585" s="105" t="s">
        <v>712</v>
      </c>
      <c r="B585" s="8" t="s">
        <v>511</v>
      </c>
      <c r="C585" s="9" t="s">
        <v>97</v>
      </c>
      <c r="D585" s="26">
        <v>34820</v>
      </c>
      <c r="E585" s="27">
        <v>14.54</v>
      </c>
      <c r="F585" s="6">
        <f aca="true" t="shared" si="5" ref="F585:F590">(D585*E585)/1000</f>
        <v>506.2828</v>
      </c>
    </row>
    <row r="586" spans="1:6" ht="12.75" customHeight="1">
      <c r="A586" s="105" t="s">
        <v>713</v>
      </c>
      <c r="B586" s="8" t="s">
        <v>956</v>
      </c>
      <c r="C586" s="9" t="s">
        <v>102</v>
      </c>
      <c r="D586" s="26">
        <v>11154</v>
      </c>
      <c r="E586" s="27">
        <v>792.09</v>
      </c>
      <c r="F586" s="6">
        <f t="shared" si="5"/>
        <v>8834.971860000001</v>
      </c>
    </row>
    <row r="587" spans="1:6" ht="12.75" customHeight="1">
      <c r="A587" s="105" t="s">
        <v>714</v>
      </c>
      <c r="B587" s="8" t="s">
        <v>971</v>
      </c>
      <c r="C587" s="9" t="s">
        <v>123</v>
      </c>
      <c r="D587" s="26">
        <v>21450</v>
      </c>
      <c r="E587" s="27">
        <v>63</v>
      </c>
      <c r="F587" s="6">
        <f t="shared" si="5"/>
        <v>1351.35</v>
      </c>
    </row>
    <row r="588" spans="1:6" ht="12.75" customHeight="1">
      <c r="A588" s="105" t="s">
        <v>715</v>
      </c>
      <c r="B588" s="8" t="s">
        <v>507</v>
      </c>
      <c r="C588" s="9" t="s">
        <v>123</v>
      </c>
      <c r="D588" s="26">
        <v>21450</v>
      </c>
      <c r="E588" s="27">
        <v>21</v>
      </c>
      <c r="F588" s="6">
        <f t="shared" si="5"/>
        <v>450.45</v>
      </c>
    </row>
    <row r="589" spans="1:6" ht="12.75" customHeight="1">
      <c r="A589" s="105" t="s">
        <v>716</v>
      </c>
      <c r="B589" s="8" t="s">
        <v>508</v>
      </c>
      <c r="C589" s="9" t="s">
        <v>46</v>
      </c>
      <c r="D589" s="26">
        <v>11570</v>
      </c>
      <c r="E589" s="27">
        <v>201.56</v>
      </c>
      <c r="F589" s="6">
        <f t="shared" si="5"/>
        <v>2332.0492000000004</v>
      </c>
    </row>
    <row r="590" spans="1:6" ht="12.75" customHeight="1">
      <c r="A590" s="105" t="s">
        <v>947</v>
      </c>
      <c r="B590" s="8" t="s">
        <v>509</v>
      </c>
      <c r="C590" s="9" t="s">
        <v>46</v>
      </c>
      <c r="D590" s="26">
        <v>760</v>
      </c>
      <c r="E590" s="27">
        <v>250.06</v>
      </c>
      <c r="F590" s="6">
        <f t="shared" si="5"/>
        <v>190.0456</v>
      </c>
    </row>
    <row r="591" spans="1:6" ht="12.75" customHeight="1">
      <c r="A591" s="105" t="s">
        <v>682</v>
      </c>
      <c r="B591" s="148" t="s">
        <v>673</v>
      </c>
      <c r="C591" s="95" t="s">
        <v>11</v>
      </c>
      <c r="D591" s="135"/>
      <c r="E591" s="27"/>
      <c r="F591" s="97">
        <f>SUM(F592,F595)</f>
        <v>22176.181394</v>
      </c>
    </row>
    <row r="592" spans="1:6" ht="12.75" customHeight="1">
      <c r="A592" s="105" t="s">
        <v>683</v>
      </c>
      <c r="B592" s="8" t="s">
        <v>94</v>
      </c>
      <c r="C592" s="9" t="s">
        <v>11</v>
      </c>
      <c r="D592" s="26"/>
      <c r="E592" s="27"/>
      <c r="F592" s="6">
        <f>SUM(F593:F594)</f>
        <v>16528.79745</v>
      </c>
    </row>
    <row r="593" spans="1:6" ht="12.75" customHeight="1">
      <c r="A593" s="105" t="s">
        <v>684</v>
      </c>
      <c r="B593" s="8" t="s">
        <v>96</v>
      </c>
      <c r="C593" s="9" t="s">
        <v>97</v>
      </c>
      <c r="D593" s="26">
        <v>1128435</v>
      </c>
      <c r="E593" s="27">
        <v>9.24</v>
      </c>
      <c r="F593" s="6">
        <f>(D593*E593)/1000</f>
        <v>10426.7394</v>
      </c>
    </row>
    <row r="594" spans="1:6" ht="12.75" customHeight="1">
      <c r="A594" s="105" t="s">
        <v>685</v>
      </c>
      <c r="B594" s="8" t="s">
        <v>124</v>
      </c>
      <c r="C594" s="9" t="s">
        <v>97</v>
      </c>
      <c r="D594" s="26">
        <v>279015</v>
      </c>
      <c r="E594" s="27">
        <v>21.87</v>
      </c>
      <c r="F594" s="6">
        <f>(D594*E594)/1000</f>
        <v>6102.05805</v>
      </c>
    </row>
    <row r="595" spans="1:6" ht="12.75" customHeight="1">
      <c r="A595" s="105" t="s">
        <v>717</v>
      </c>
      <c r="B595" s="28" t="s">
        <v>510</v>
      </c>
      <c r="C595" s="9" t="s">
        <v>11</v>
      </c>
      <c r="D595" s="26"/>
      <c r="E595" s="27"/>
      <c r="F595" s="6">
        <f>SUM(F596:F601)</f>
        <v>5647.383944</v>
      </c>
    </row>
    <row r="596" spans="1:6" ht="12.75" customHeight="1">
      <c r="A596" s="105" t="s">
        <v>718</v>
      </c>
      <c r="B596" s="8" t="s">
        <v>511</v>
      </c>
      <c r="C596" s="9" t="s">
        <v>97</v>
      </c>
      <c r="D596" s="26">
        <v>58585</v>
      </c>
      <c r="E596" s="27">
        <v>14.54</v>
      </c>
      <c r="F596" s="6">
        <f aca="true" t="shared" si="6" ref="F596:F601">(D596*E596)/1000</f>
        <v>851.8258999999999</v>
      </c>
    </row>
    <row r="597" spans="1:6" ht="12.75" customHeight="1">
      <c r="A597" s="105" t="s">
        <v>719</v>
      </c>
      <c r="B597" s="8" t="s">
        <v>956</v>
      </c>
      <c r="C597" s="9" t="s">
        <v>102</v>
      </c>
      <c r="D597" s="26">
        <v>4071.6</v>
      </c>
      <c r="E597" s="27">
        <v>792.09</v>
      </c>
      <c r="F597" s="6">
        <f t="shared" si="6"/>
        <v>3225.073644</v>
      </c>
    </row>
    <row r="598" spans="1:6" ht="12.75" customHeight="1">
      <c r="A598" s="105" t="s">
        <v>720</v>
      </c>
      <c r="B598" s="8" t="s">
        <v>971</v>
      </c>
      <c r="C598" s="9" t="s">
        <v>123</v>
      </c>
      <c r="D598" s="26">
        <v>7830</v>
      </c>
      <c r="E598" s="27">
        <v>63</v>
      </c>
      <c r="F598" s="6">
        <f t="shared" si="6"/>
        <v>493.29</v>
      </c>
    </row>
    <row r="599" spans="1:6" ht="12.75" customHeight="1">
      <c r="A599" s="105" t="s">
        <v>721</v>
      </c>
      <c r="B599" s="8" t="s">
        <v>507</v>
      </c>
      <c r="C599" s="9" t="s">
        <v>123</v>
      </c>
      <c r="D599" s="26">
        <v>7830</v>
      </c>
      <c r="E599" s="27">
        <v>21</v>
      </c>
      <c r="F599" s="6">
        <f t="shared" si="6"/>
        <v>164.43</v>
      </c>
    </row>
    <row r="600" spans="1:6" ht="12.75" customHeight="1">
      <c r="A600" s="105" t="s">
        <v>722</v>
      </c>
      <c r="B600" s="8" t="s">
        <v>508</v>
      </c>
      <c r="C600" s="9" t="s">
        <v>46</v>
      </c>
      <c r="D600" s="26">
        <v>4330</v>
      </c>
      <c r="E600" s="27">
        <v>201.56</v>
      </c>
      <c r="F600" s="6">
        <f t="shared" si="6"/>
        <v>872.7548</v>
      </c>
    </row>
    <row r="601" spans="1:6" ht="12.75" customHeight="1">
      <c r="A601" s="105" t="s">
        <v>948</v>
      </c>
      <c r="B601" s="8" t="s">
        <v>509</v>
      </c>
      <c r="C601" s="9" t="s">
        <v>46</v>
      </c>
      <c r="D601" s="26">
        <v>160</v>
      </c>
      <c r="E601" s="27">
        <v>250.06</v>
      </c>
      <c r="F601" s="6">
        <f t="shared" si="6"/>
        <v>40.0096</v>
      </c>
    </row>
    <row r="602" spans="1:6" ht="12.75" customHeight="1">
      <c r="A602" s="105" t="s">
        <v>686</v>
      </c>
      <c r="B602" s="148" t="s">
        <v>674</v>
      </c>
      <c r="C602" s="95" t="s">
        <v>11</v>
      </c>
      <c r="D602" s="135"/>
      <c r="E602" s="27"/>
      <c r="F602" s="97">
        <f>SUM(F603,F607,F614,F618,F622)</f>
        <v>353266.79448056</v>
      </c>
    </row>
    <row r="603" spans="1:6" ht="12.75" customHeight="1">
      <c r="A603" s="105" t="s">
        <v>687</v>
      </c>
      <c r="B603" s="8" t="s">
        <v>94</v>
      </c>
      <c r="C603" s="9" t="s">
        <v>11</v>
      </c>
      <c r="D603" s="26"/>
      <c r="E603" s="27"/>
      <c r="F603" s="6">
        <f>SUM(F604:F606)</f>
        <v>39042.13455</v>
      </c>
    </row>
    <row r="604" spans="1:6" ht="12.75" customHeight="1">
      <c r="A604" s="105" t="s">
        <v>688</v>
      </c>
      <c r="B604" s="8" t="s">
        <v>96</v>
      </c>
      <c r="C604" s="9" t="s">
        <v>97</v>
      </c>
      <c r="D604" s="26">
        <v>393675</v>
      </c>
      <c r="E604" s="27">
        <v>9.24</v>
      </c>
      <c r="F604" s="6">
        <f>(D604*E604)/1000</f>
        <v>3637.557</v>
      </c>
    </row>
    <row r="605" spans="1:6" ht="12.75" customHeight="1">
      <c r="A605" s="105" t="s">
        <v>689</v>
      </c>
      <c r="B605" s="8" t="s">
        <v>124</v>
      </c>
      <c r="C605" s="9" t="s">
        <v>97</v>
      </c>
      <c r="D605" s="26">
        <v>1071065</v>
      </c>
      <c r="E605" s="27">
        <v>21.87</v>
      </c>
      <c r="F605" s="6">
        <f>(D605*E605)/1000</f>
        <v>23424.19155</v>
      </c>
    </row>
    <row r="606" spans="1:6" ht="12.75" customHeight="1">
      <c r="A606" s="105" t="s">
        <v>690</v>
      </c>
      <c r="B606" s="8" t="s">
        <v>664</v>
      </c>
      <c r="C606" s="9" t="s">
        <v>97</v>
      </c>
      <c r="D606" s="26">
        <v>547800</v>
      </c>
      <c r="E606" s="27">
        <v>21.87</v>
      </c>
      <c r="F606" s="6">
        <f>(D606*E606)/1000</f>
        <v>11980.386</v>
      </c>
    </row>
    <row r="607" spans="1:6" ht="12.75" customHeight="1">
      <c r="A607" s="105" t="s">
        <v>691</v>
      </c>
      <c r="B607" s="28" t="s">
        <v>510</v>
      </c>
      <c r="C607" s="9" t="s">
        <v>11</v>
      </c>
      <c r="D607" s="26"/>
      <c r="E607" s="27"/>
      <c r="F607" s="6">
        <f>SUM(F608:F613)</f>
        <v>17834.369452</v>
      </c>
    </row>
    <row r="608" spans="1:6" ht="12.75" customHeight="1">
      <c r="A608" s="105" t="s">
        <v>723</v>
      </c>
      <c r="B608" s="8" t="s">
        <v>511</v>
      </c>
      <c r="C608" s="9" t="s">
        <v>97</v>
      </c>
      <c r="D608" s="26"/>
      <c r="E608" s="27"/>
      <c r="F608" s="6">
        <f aca="true" t="shared" si="7" ref="F608:F613">(D608*E608)/1000</f>
        <v>0</v>
      </c>
    </row>
    <row r="609" spans="1:6" ht="12.75" customHeight="1">
      <c r="A609" s="105" t="s">
        <v>724</v>
      </c>
      <c r="B609" s="8" t="s">
        <v>942</v>
      </c>
      <c r="C609" s="9" t="s">
        <v>102</v>
      </c>
      <c r="D609" s="26">
        <v>15802.8</v>
      </c>
      <c r="E609" s="27">
        <v>792.09</v>
      </c>
      <c r="F609" s="6">
        <f t="shared" si="7"/>
        <v>12517.239852</v>
      </c>
    </row>
    <row r="610" spans="1:6" ht="12.75" customHeight="1">
      <c r="A610" s="105" t="s">
        <v>725</v>
      </c>
      <c r="B610" s="8" t="s">
        <v>971</v>
      </c>
      <c r="C610" s="9" t="s">
        <v>123</v>
      </c>
      <c r="D610" s="26">
        <v>30390</v>
      </c>
      <c r="E610" s="27">
        <v>63</v>
      </c>
      <c r="F610" s="6">
        <f t="shared" si="7"/>
        <v>1914.57</v>
      </c>
    </row>
    <row r="611" spans="1:6" ht="12.75" customHeight="1">
      <c r="A611" s="105" t="s">
        <v>726</v>
      </c>
      <c r="B611" s="8" t="s">
        <v>507</v>
      </c>
      <c r="C611" s="9" t="s">
        <v>123</v>
      </c>
      <c r="D611" s="26">
        <v>20390</v>
      </c>
      <c r="E611" s="27">
        <v>21</v>
      </c>
      <c r="F611" s="6">
        <f t="shared" si="7"/>
        <v>428.19</v>
      </c>
    </row>
    <row r="612" spans="1:6" ht="12.75" customHeight="1">
      <c r="A612" s="105" t="s">
        <v>727</v>
      </c>
      <c r="B612" s="8" t="s">
        <v>508</v>
      </c>
      <c r="C612" s="9" t="s">
        <v>46</v>
      </c>
      <c r="D612" s="26">
        <v>11680</v>
      </c>
      <c r="E612" s="27">
        <v>201.56</v>
      </c>
      <c r="F612" s="6">
        <f t="shared" si="7"/>
        <v>2354.2207999999996</v>
      </c>
    </row>
    <row r="613" spans="1:6" ht="12.75" customHeight="1">
      <c r="A613" s="105" t="s">
        <v>949</v>
      </c>
      <c r="B613" s="8" t="s">
        <v>509</v>
      </c>
      <c r="C613" s="9" t="s">
        <v>46</v>
      </c>
      <c r="D613" s="26">
        <v>2480</v>
      </c>
      <c r="E613" s="27">
        <v>250.06</v>
      </c>
      <c r="F613" s="6">
        <f t="shared" si="7"/>
        <v>620.1488</v>
      </c>
    </row>
    <row r="614" spans="1:6" ht="12.75" customHeight="1">
      <c r="A614" s="105" t="s">
        <v>692</v>
      </c>
      <c r="B614" s="8" t="s">
        <v>982</v>
      </c>
      <c r="C614" s="9" t="s">
        <v>239</v>
      </c>
      <c r="D614" s="26"/>
      <c r="E614" s="27"/>
      <c r="F614" s="6">
        <f>SUM(F615:F617)</f>
        <v>3450.982885</v>
      </c>
    </row>
    <row r="615" spans="1:6" ht="12.75" customHeight="1">
      <c r="A615" s="105" t="s">
        <v>983</v>
      </c>
      <c r="B615" s="8" t="s">
        <v>986</v>
      </c>
      <c r="C615" s="9" t="s">
        <v>981</v>
      </c>
      <c r="D615" s="26">
        <v>13900</v>
      </c>
      <c r="E615" s="27">
        <v>46.71</v>
      </c>
      <c r="F615" s="6">
        <f>(D615*E615)/1000</f>
        <v>649.269</v>
      </c>
    </row>
    <row r="616" spans="1:6" ht="12.75" customHeight="1">
      <c r="A616" s="105" t="s">
        <v>984</v>
      </c>
      <c r="B616" s="8" t="s">
        <v>987</v>
      </c>
      <c r="C616" s="9" t="s">
        <v>981</v>
      </c>
      <c r="D616" s="26">
        <v>1876.5</v>
      </c>
      <c r="E616" s="27">
        <v>792.09</v>
      </c>
      <c r="F616" s="6">
        <f>(D616*E616)/1000</f>
        <v>1486.356885</v>
      </c>
    </row>
    <row r="617" spans="1:6" ht="12.75" customHeight="1">
      <c r="A617" s="105" t="s">
        <v>985</v>
      </c>
      <c r="B617" s="8" t="s">
        <v>988</v>
      </c>
      <c r="C617" s="9"/>
      <c r="D617" s="26">
        <v>6950</v>
      </c>
      <c r="E617" s="27">
        <v>189.26</v>
      </c>
      <c r="F617" s="6">
        <f>(D617*E617)/1000</f>
        <v>1315.357</v>
      </c>
    </row>
    <row r="618" spans="1:6" ht="12.75" customHeight="1">
      <c r="A618" s="105" t="s">
        <v>693</v>
      </c>
      <c r="B618" s="8" t="s">
        <v>101</v>
      </c>
      <c r="C618" s="9" t="s">
        <v>11</v>
      </c>
      <c r="D618" s="26"/>
      <c r="E618" s="27"/>
      <c r="F618" s="6">
        <f>SUM(F619:F621)</f>
        <v>292153.66450356</v>
      </c>
    </row>
    <row r="619" spans="1:6" ht="12.75" customHeight="1">
      <c r="A619" s="105" t="s">
        <v>695</v>
      </c>
      <c r="B619" s="8" t="s">
        <v>942</v>
      </c>
      <c r="C619" s="9" t="s">
        <v>102</v>
      </c>
      <c r="D619" s="26">
        <v>83439.6</v>
      </c>
      <c r="E619" s="27">
        <v>792.09</v>
      </c>
      <c r="F619" s="6">
        <f>(D619*E619)/1000</f>
        <v>66091.672764</v>
      </c>
    </row>
    <row r="620" spans="1:6" ht="12.75" customHeight="1">
      <c r="A620" s="105" t="s">
        <v>696</v>
      </c>
      <c r="B620" s="8" t="s">
        <v>103</v>
      </c>
      <c r="C620" s="9" t="s">
        <v>97</v>
      </c>
      <c r="D620" s="26">
        <v>309035.57</v>
      </c>
      <c r="E620" s="27">
        <v>258.27</v>
      </c>
      <c r="F620" s="6">
        <f>(D620*E620)/1000</f>
        <v>79814.6166639</v>
      </c>
    </row>
    <row r="621" spans="1:6" ht="12.75" customHeight="1">
      <c r="A621" s="105" t="s">
        <v>697</v>
      </c>
      <c r="B621" s="8" t="s">
        <v>104</v>
      </c>
      <c r="C621" s="9" t="s">
        <v>102</v>
      </c>
      <c r="D621" s="26">
        <f>0.06*D620</f>
        <v>18542.1342</v>
      </c>
      <c r="E621" s="27">
        <v>7887.3</v>
      </c>
      <c r="F621" s="6">
        <f>(D621*E621)/1000</f>
        <v>146247.37507566</v>
      </c>
    </row>
    <row r="622" spans="1:6" ht="12.75" customHeight="1">
      <c r="A622" s="105" t="s">
        <v>694</v>
      </c>
      <c r="B622" s="8" t="s">
        <v>289</v>
      </c>
      <c r="C622" s="102" t="s">
        <v>97</v>
      </c>
      <c r="D622" s="26">
        <v>79923</v>
      </c>
      <c r="E622" s="27">
        <v>9.83</v>
      </c>
      <c r="F622" s="6">
        <f>(D622*E622)/1000</f>
        <v>785.6430899999999</v>
      </c>
    </row>
    <row r="623" spans="1:6" ht="12.75" customHeight="1">
      <c r="A623" s="105" t="s">
        <v>698</v>
      </c>
      <c r="B623" s="8" t="s">
        <v>665</v>
      </c>
      <c r="C623" s="9" t="s">
        <v>11</v>
      </c>
      <c r="D623" s="26"/>
      <c r="E623" s="27"/>
      <c r="F623" s="136">
        <f>F624</f>
        <v>54378.814</v>
      </c>
    </row>
    <row r="624" spans="1:6" ht="12.75" customHeight="1">
      <c r="A624" s="105" t="s">
        <v>700</v>
      </c>
      <c r="B624" s="8" t="s">
        <v>666</v>
      </c>
      <c r="C624" s="9" t="s">
        <v>11</v>
      </c>
      <c r="D624" s="26"/>
      <c r="E624" s="27"/>
      <c r="F624" s="103">
        <f>SUM(F625:F636)</f>
        <v>54378.814</v>
      </c>
    </row>
    <row r="625" spans="1:6" ht="12.75" customHeight="1">
      <c r="A625" s="105" t="s">
        <v>701</v>
      </c>
      <c r="B625" s="8" t="s">
        <v>667</v>
      </c>
      <c r="C625" s="9" t="s">
        <v>668</v>
      </c>
      <c r="D625" s="26">
        <v>4</v>
      </c>
      <c r="E625" s="27">
        <v>68000</v>
      </c>
      <c r="F625" s="103">
        <f aca="true" t="shared" si="8" ref="F625:F634">D625*E625/1000</f>
        <v>272</v>
      </c>
    </row>
    <row r="626" spans="1:6" ht="12.75" customHeight="1">
      <c r="A626" s="105" t="s">
        <v>702</v>
      </c>
      <c r="B626" s="8" t="s">
        <v>896</v>
      </c>
      <c r="C626" s="9" t="s">
        <v>668</v>
      </c>
      <c r="D626" s="26">
        <v>8</v>
      </c>
      <c r="E626" s="27">
        <v>140000</v>
      </c>
      <c r="F626" s="103">
        <f t="shared" si="8"/>
        <v>1120</v>
      </c>
    </row>
    <row r="627" spans="1:6" ht="12.75" customHeight="1">
      <c r="A627" s="105" t="s">
        <v>703</v>
      </c>
      <c r="B627" s="8" t="s">
        <v>895</v>
      </c>
      <c r="C627" s="9" t="s">
        <v>668</v>
      </c>
      <c r="D627" s="26">
        <v>8</v>
      </c>
      <c r="E627" s="27">
        <v>40000</v>
      </c>
      <c r="F627" s="103">
        <f t="shared" si="8"/>
        <v>320</v>
      </c>
    </row>
    <row r="628" spans="1:6" ht="12.75" customHeight="1">
      <c r="A628" s="105" t="s">
        <v>704</v>
      </c>
      <c r="B628" s="8" t="s">
        <v>914</v>
      </c>
      <c r="C628" s="9" t="s">
        <v>668</v>
      </c>
      <c r="D628" s="26">
        <v>2</v>
      </c>
      <c r="E628" s="27">
        <v>225000</v>
      </c>
      <c r="F628" s="103">
        <f t="shared" si="8"/>
        <v>450</v>
      </c>
    </row>
    <row r="629" spans="1:6" ht="12.75" customHeight="1">
      <c r="A629" s="105" t="s">
        <v>705</v>
      </c>
      <c r="B629" s="8" t="s">
        <v>915</v>
      </c>
      <c r="C629" s="9" t="s">
        <v>668</v>
      </c>
      <c r="D629" s="26">
        <v>2</v>
      </c>
      <c r="E629" s="27">
        <v>225000</v>
      </c>
      <c r="F629" s="103">
        <f t="shared" si="8"/>
        <v>450</v>
      </c>
    </row>
    <row r="630" spans="1:6" ht="12.75" customHeight="1">
      <c r="A630" s="105" t="s">
        <v>706</v>
      </c>
      <c r="B630" s="8" t="s">
        <v>669</v>
      </c>
      <c r="C630" s="9" t="s">
        <v>668</v>
      </c>
      <c r="D630" s="26">
        <v>1</v>
      </c>
      <c r="E630" s="27">
        <v>6250000</v>
      </c>
      <c r="F630" s="103">
        <f t="shared" si="8"/>
        <v>6250</v>
      </c>
    </row>
    <row r="631" spans="1:6" ht="12.75" customHeight="1">
      <c r="A631" s="105" t="s">
        <v>707</v>
      </c>
      <c r="B631" s="8" t="s">
        <v>670</v>
      </c>
      <c r="C631" s="9" t="s">
        <v>668</v>
      </c>
      <c r="D631" s="26">
        <v>1</v>
      </c>
      <c r="E631" s="27">
        <v>16600000</v>
      </c>
      <c r="F631" s="103">
        <f t="shared" si="8"/>
        <v>16600</v>
      </c>
    </row>
    <row r="632" spans="1:6" ht="12.75" customHeight="1">
      <c r="A632" s="105" t="s">
        <v>708</v>
      </c>
      <c r="B632" s="8" t="s">
        <v>671</v>
      </c>
      <c r="C632" s="9" t="s">
        <v>668</v>
      </c>
      <c r="D632" s="26">
        <v>2</v>
      </c>
      <c r="E632" s="27">
        <v>3435000</v>
      </c>
      <c r="F632" s="103">
        <f t="shared" si="8"/>
        <v>6870</v>
      </c>
    </row>
    <row r="633" spans="1:6" ht="12.75" customHeight="1">
      <c r="A633" s="105" t="s">
        <v>709</v>
      </c>
      <c r="B633" s="8" t="s">
        <v>892</v>
      </c>
      <c r="C633" s="9" t="s">
        <v>668</v>
      </c>
      <c r="D633" s="26">
        <v>4</v>
      </c>
      <c r="E633" s="27">
        <v>300000</v>
      </c>
      <c r="F633" s="103">
        <f t="shared" si="8"/>
        <v>1200</v>
      </c>
    </row>
    <row r="634" spans="1:6" ht="12.75" customHeight="1">
      <c r="A634" s="105" t="s">
        <v>710</v>
      </c>
      <c r="B634" s="8" t="s">
        <v>672</v>
      </c>
      <c r="C634" s="9" t="s">
        <v>668</v>
      </c>
      <c r="D634" s="26">
        <v>2</v>
      </c>
      <c r="E634" s="27">
        <v>169470</v>
      </c>
      <c r="F634" s="103">
        <f t="shared" si="8"/>
        <v>338.94</v>
      </c>
    </row>
    <row r="635" spans="1:6" ht="12.75" customHeight="1">
      <c r="A635" s="105" t="s">
        <v>886</v>
      </c>
      <c r="B635" s="8" t="s">
        <v>894</v>
      </c>
      <c r="C635" s="9" t="s">
        <v>668</v>
      </c>
      <c r="D635" s="26"/>
      <c r="E635" s="27"/>
      <c r="F635" s="103">
        <f>SUM(F625:F634)*0.1</f>
        <v>3387.0940000000005</v>
      </c>
    </row>
    <row r="636" spans="1:6" ht="12.75" customHeight="1">
      <c r="A636" s="105" t="s">
        <v>893</v>
      </c>
      <c r="B636" s="8" t="s">
        <v>887</v>
      </c>
      <c r="C636" s="9" t="s">
        <v>11</v>
      </c>
      <c r="D636" s="26"/>
      <c r="E636" s="27"/>
      <c r="F636" s="103">
        <v>17120.78</v>
      </c>
    </row>
    <row r="637" spans="1:6" ht="12.75" customHeight="1">
      <c r="A637" s="106"/>
      <c r="B637" s="8" t="s">
        <v>156</v>
      </c>
      <c r="C637" s="9" t="s">
        <v>11</v>
      </c>
      <c r="D637" s="26"/>
      <c r="E637" s="27"/>
      <c r="F637" s="6">
        <f>SUM(F580,F591,F602)</f>
        <v>425844.51763456</v>
      </c>
    </row>
    <row r="638" spans="1:6" ht="12.75" customHeight="1">
      <c r="A638" s="106"/>
      <c r="B638" s="8" t="s">
        <v>158</v>
      </c>
      <c r="C638" s="9" t="s">
        <v>11</v>
      </c>
      <c r="D638" s="26"/>
      <c r="E638" s="27"/>
      <c r="F638" s="6">
        <f>F623</f>
        <v>54378.814</v>
      </c>
    </row>
    <row r="639" spans="1:6" ht="11.25">
      <c r="A639" s="106"/>
      <c r="B639" s="8"/>
      <c r="C639" s="9"/>
      <c r="D639" s="26"/>
      <c r="E639" s="27"/>
      <c r="F639" s="6"/>
    </row>
    <row r="640" spans="1:6" ht="11.25">
      <c r="A640" s="105" t="s">
        <v>699</v>
      </c>
      <c r="B640" s="8" t="s">
        <v>918</v>
      </c>
      <c r="C640" s="5" t="s">
        <v>87</v>
      </c>
      <c r="D640" s="26">
        <v>10</v>
      </c>
      <c r="E640" s="27"/>
      <c r="F640" s="6">
        <f>F637*D640/100</f>
        <v>42584.451763455996</v>
      </c>
    </row>
    <row r="641" spans="1:6" ht="12" thickBot="1">
      <c r="A641" s="105" t="s">
        <v>916</v>
      </c>
      <c r="B641" s="163" t="s">
        <v>917</v>
      </c>
      <c r="C641" s="137" t="s">
        <v>87</v>
      </c>
      <c r="D641" s="143">
        <v>10</v>
      </c>
      <c r="E641" s="138"/>
      <c r="F641" s="139">
        <f>F638*D641/100</f>
        <v>5437.8814</v>
      </c>
    </row>
    <row r="642" spans="1:6" ht="12" thickTop="1">
      <c r="A642" s="77"/>
      <c r="B642" s="77"/>
      <c r="C642" s="78"/>
      <c r="D642" s="79"/>
      <c r="E642" s="80"/>
      <c r="F642" s="74"/>
    </row>
    <row r="644" spans="2:4" ht="12.75">
      <c r="B644" s="190" t="s">
        <v>1018</v>
      </c>
      <c r="C644" s="190"/>
      <c r="D644" s="190"/>
    </row>
    <row r="645" ht="13.5" thickBot="1"/>
    <row r="646" spans="2:4" ht="12.75">
      <c r="B646" s="149" t="s">
        <v>1006</v>
      </c>
      <c r="C646" s="150" t="s">
        <v>97</v>
      </c>
      <c r="D646" s="151">
        <f>D133+D343+D390+D405+D420+D455+D470+D454+D469+D389+D404+D582+D593+D604</f>
        <v>23655357</v>
      </c>
    </row>
    <row r="647" spans="2:4" ht="12.75">
      <c r="B647" s="152" t="s">
        <v>1007</v>
      </c>
      <c r="C647" s="95" t="s">
        <v>97</v>
      </c>
      <c r="D647" s="153">
        <f>D392+D407+D457+D472+D456+D471+D391+D406+D135+D422+D267+D134+D344+D421+D345+D266+D583+D594+D605+D606</f>
        <v>35804641.72</v>
      </c>
    </row>
    <row r="648" spans="2:4" ht="12.75">
      <c r="B648" s="152" t="s">
        <v>1012</v>
      </c>
      <c r="C648" s="95" t="s">
        <v>97</v>
      </c>
      <c r="D648" s="153">
        <f>D393+D408</f>
        <v>1886907</v>
      </c>
    </row>
    <row r="649" spans="2:4" ht="12.75">
      <c r="B649" s="152" t="s">
        <v>1014</v>
      </c>
      <c r="C649" s="95" t="s">
        <v>123</v>
      </c>
      <c r="D649" s="153">
        <f>D270+D289+D309+D328+D347+D424+D137+D615</f>
        <v>207035</v>
      </c>
    </row>
    <row r="650" spans="2:4" ht="12.75">
      <c r="B650" s="152" t="s">
        <v>1017</v>
      </c>
      <c r="C650" s="95" t="s">
        <v>102</v>
      </c>
      <c r="D650" s="153">
        <f>D294+D296+D301+D315+D320+D332+D337+D352+D355+D429+D396+D411+D461+D476+D312+D329+D138+D142+D147+D152+D157+D274+D609+D619+D586+D597+D616</f>
        <v>744138.83</v>
      </c>
    </row>
    <row r="651" spans="2:4" ht="12.75">
      <c r="B651" s="152" t="s">
        <v>1008</v>
      </c>
      <c r="C651" s="95" t="s">
        <v>97</v>
      </c>
      <c r="D651" s="153">
        <f>D300+D319+D336</f>
        <v>136560</v>
      </c>
    </row>
    <row r="652" spans="2:4" ht="12.75">
      <c r="B652" s="152" t="s">
        <v>1009</v>
      </c>
      <c r="C652" s="95" t="s">
        <v>97</v>
      </c>
      <c r="D652" s="153">
        <f>D351+D139+D313+D330+D293+D273+D617</f>
        <v>59350.880000000005</v>
      </c>
    </row>
    <row r="653" spans="2:4" ht="12.75">
      <c r="B653" s="152" t="s">
        <v>1011</v>
      </c>
      <c r="C653" s="95" t="s">
        <v>97</v>
      </c>
      <c r="D653" s="153">
        <f>D143+D148+D153+D158+D297+D316+D333+D354+D428+D620</f>
        <v>2431525.57</v>
      </c>
    </row>
    <row r="654" spans="2:4" ht="12.75">
      <c r="B654" s="152" t="s">
        <v>1013</v>
      </c>
      <c r="C654" s="95" t="s">
        <v>123</v>
      </c>
      <c r="D654" s="153">
        <f>D462+D397+D412+D477+D587+D598+D610</f>
        <v>111435</v>
      </c>
    </row>
    <row r="655" spans="2:4" ht="12.75">
      <c r="B655" s="152" t="s">
        <v>1016</v>
      </c>
      <c r="C655" s="95" t="s">
        <v>102</v>
      </c>
      <c r="D655" s="153">
        <f>D144+D149+D154+D159+D298+D317+D334+D356+D430+D621</f>
        <v>145891.5342</v>
      </c>
    </row>
    <row r="656" spans="2:4" ht="12.75">
      <c r="B656" s="152" t="s">
        <v>1020</v>
      </c>
      <c r="C656" s="95" t="s">
        <v>97</v>
      </c>
      <c r="D656" s="153">
        <f>D171+D175+D185+D189+D193+D197+D201+D205+D247+D255+D230+D234+D238+D242</f>
        <v>4084470</v>
      </c>
    </row>
    <row r="657" spans="2:4" ht="12.75">
      <c r="B657" s="152" t="s">
        <v>1021</v>
      </c>
      <c r="C657" s="95" t="s">
        <v>97</v>
      </c>
      <c r="D657" s="153">
        <f>D172+D176+D186+D190+D194+D198+D202+D206+D248+D256+D280+D231+D235+D239+D243</f>
        <v>270810</v>
      </c>
    </row>
    <row r="658" spans="2:4" ht="12.75">
      <c r="B658" s="152" t="s">
        <v>1010</v>
      </c>
      <c r="C658" s="95" t="s">
        <v>97</v>
      </c>
      <c r="D658" s="153">
        <f>D173+D177+D249+D257</f>
        <v>110600</v>
      </c>
    </row>
    <row r="659" spans="2:4" ht="12.75">
      <c r="B659" s="152" t="s">
        <v>1022</v>
      </c>
      <c r="C659" s="95" t="s">
        <v>97</v>
      </c>
      <c r="D659" s="153">
        <f>D395+D410+D460+D475+D277+D187+D191+D195+D199+D203+D207+D229+D233+D237+D241+D585+D596</f>
        <v>2196772</v>
      </c>
    </row>
    <row r="660" spans="2:4" ht="12.75">
      <c r="B660" s="157" t="s">
        <v>1015</v>
      </c>
      <c r="C660" s="95" t="s">
        <v>97</v>
      </c>
      <c r="D660" s="153">
        <f>D278</f>
        <v>269450</v>
      </c>
    </row>
    <row r="661" spans="2:4" ht="13.5" thickBot="1">
      <c r="B661" s="156" t="s">
        <v>1019</v>
      </c>
      <c r="C661" s="95" t="s">
        <v>97</v>
      </c>
      <c r="D661" s="155">
        <f>D622</f>
        <v>79923</v>
      </c>
    </row>
  </sheetData>
  <autoFilter ref="A12:F578"/>
  <mergeCells count="4">
    <mergeCell ref="A1:F1"/>
    <mergeCell ref="A3:F3"/>
    <mergeCell ref="A2:F2"/>
    <mergeCell ref="B644:D64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8" r:id="rId1"/>
  <headerFooter alignWithMargins="0">
    <oddFooter>&amp;L&amp;F&amp;R&amp;P/&amp;N</oddFooter>
  </headerFooter>
  <rowBreaks count="4" manualBreakCount="4">
    <brk id="450" max="5" man="1"/>
    <brk id="514" max="5" man="1"/>
    <brk id="578" max="5" man="1"/>
    <brk id="64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59"/>
  <sheetViews>
    <sheetView view="pageBreakPreview" zoomScale="75" zoomScaleSheetLayoutView="75" workbookViewId="0" topLeftCell="A444">
      <selection activeCell="B468" sqref="B468:B469"/>
    </sheetView>
  </sheetViews>
  <sheetFormatPr defaultColWidth="9.625" defaultRowHeight="12.75"/>
  <cols>
    <col min="1" max="1" width="14.875" style="54" customWidth="1"/>
    <col min="2" max="2" width="54.125" style="54" customWidth="1"/>
    <col min="3" max="3" width="3.875" style="54" customWidth="1"/>
    <col min="4" max="4" width="9.25390625" style="54" customWidth="1"/>
    <col min="5" max="5" width="13.375" style="54" customWidth="1"/>
    <col min="6" max="6" width="13.75390625" style="54" customWidth="1"/>
    <col min="7" max="7" width="10.25390625" style="1" bestFit="1" customWidth="1"/>
    <col min="8" max="8" width="10.25390625" style="1" customWidth="1"/>
    <col min="9" max="9" width="12.25390625" style="1" customWidth="1"/>
    <col min="10" max="20" width="9.625" style="1" customWidth="1"/>
    <col min="21" max="16384" width="9.625" style="1" customWidth="1"/>
  </cols>
  <sheetData>
    <row r="1" spans="1:7" s="10" customFormat="1" ht="15" customHeight="1">
      <c r="A1" s="189" t="s">
        <v>920</v>
      </c>
      <c r="B1" s="189"/>
      <c r="C1" s="189"/>
      <c r="D1" s="189"/>
      <c r="E1" s="189"/>
      <c r="F1" s="189"/>
      <c r="G1" s="11"/>
    </row>
    <row r="2" spans="1:7" s="10" customFormat="1" ht="15" customHeight="1">
      <c r="A2" s="189" t="s">
        <v>919</v>
      </c>
      <c r="B2" s="189"/>
      <c r="C2" s="189"/>
      <c r="D2" s="189"/>
      <c r="E2" s="189"/>
      <c r="F2" s="189"/>
      <c r="G2" s="11"/>
    </row>
    <row r="3" spans="1:7" s="10" customFormat="1" ht="15" customHeight="1">
      <c r="A3" s="189" t="s">
        <v>0</v>
      </c>
      <c r="B3" s="189"/>
      <c r="C3" s="189"/>
      <c r="D3" s="189"/>
      <c r="E3" s="189"/>
      <c r="F3" s="189"/>
      <c r="G3" s="11"/>
    </row>
    <row r="4" spans="1:6" ht="15" customHeight="1">
      <c r="A4" s="61" t="s">
        <v>323</v>
      </c>
      <c r="B4" s="62"/>
      <c r="C4" s="63"/>
      <c r="D4" s="100" t="s">
        <v>647</v>
      </c>
      <c r="E4" s="64"/>
      <c r="F4" s="65"/>
    </row>
    <row r="5" spans="1:6" ht="15" customHeight="1">
      <c r="A5" s="66" t="s">
        <v>653</v>
      </c>
      <c r="B5" s="62"/>
      <c r="C5" s="63"/>
      <c r="D5" s="100" t="s">
        <v>648</v>
      </c>
      <c r="E5" s="64"/>
      <c r="F5" s="65"/>
    </row>
    <row r="6" spans="1:6" ht="15" customHeight="1">
      <c r="A6" s="61" t="s">
        <v>652</v>
      </c>
      <c r="B6" s="62"/>
      <c r="C6" s="63"/>
      <c r="D6" s="100" t="s">
        <v>649</v>
      </c>
      <c r="E6" s="64"/>
      <c r="F6" s="65"/>
    </row>
    <row r="7" spans="1:6" ht="15" customHeight="1">
      <c r="A7" s="61" t="s">
        <v>287</v>
      </c>
      <c r="B7" s="62"/>
      <c r="C7" s="63"/>
      <c r="D7" s="100" t="s">
        <v>650</v>
      </c>
      <c r="E7" s="64"/>
      <c r="F7" s="67"/>
    </row>
    <row r="8" spans="1:6" ht="15" customHeight="1">
      <c r="A8" s="61" t="s">
        <v>324</v>
      </c>
      <c r="B8" s="62"/>
      <c r="C8" s="63"/>
      <c r="D8" s="100" t="s">
        <v>654</v>
      </c>
      <c r="E8" s="64"/>
      <c r="F8" s="67"/>
    </row>
    <row r="9" spans="1:6" ht="15" customHeight="1">
      <c r="A9" s="66"/>
      <c r="B9" s="62"/>
      <c r="C9" s="63"/>
      <c r="D9" s="101" t="s">
        <v>651</v>
      </c>
      <c r="E9" s="64"/>
      <c r="F9" s="71">
        <v>3.05</v>
      </c>
    </row>
    <row r="10" spans="1:6" s="15" customFormat="1" ht="12.75" customHeight="1">
      <c r="A10" s="88"/>
      <c r="B10" s="66"/>
      <c r="C10" s="63"/>
      <c r="D10" s="101"/>
      <c r="E10" s="64"/>
      <c r="F10" s="67"/>
    </row>
    <row r="11" spans="1:6" s="15" customFormat="1" ht="12.75" customHeight="1">
      <c r="A11" s="87"/>
      <c r="B11" s="66"/>
      <c r="C11" s="63"/>
      <c r="D11" s="101"/>
      <c r="E11" s="64"/>
      <c r="F11" s="67"/>
    </row>
    <row r="12" spans="1:6" ht="12.75" customHeight="1" thickBot="1">
      <c r="A12" s="87"/>
      <c r="B12" s="15"/>
      <c r="C12" s="16"/>
      <c r="D12" s="17"/>
      <c r="E12" s="118" t="s">
        <v>960</v>
      </c>
      <c r="F12" s="12"/>
    </row>
    <row r="13" spans="1:6" s="2" customFormat="1" ht="12.75" customHeight="1" thickTop="1">
      <c r="A13" s="18"/>
      <c r="B13" s="19"/>
      <c r="C13" s="19"/>
      <c r="D13" s="20"/>
      <c r="E13" s="21" t="s">
        <v>1</v>
      </c>
      <c r="F13" s="22" t="s">
        <v>2</v>
      </c>
    </row>
    <row r="14" spans="1:6" s="2" customFormat="1" ht="12.75" customHeight="1" thickBot="1">
      <c r="A14" s="23" t="s">
        <v>3</v>
      </c>
      <c r="B14" s="13" t="s">
        <v>4</v>
      </c>
      <c r="C14" s="13" t="s">
        <v>5</v>
      </c>
      <c r="D14" s="14" t="s">
        <v>6</v>
      </c>
      <c r="E14" s="24" t="s">
        <v>7</v>
      </c>
      <c r="F14" s="25" t="s">
        <v>8</v>
      </c>
    </row>
    <row r="15" spans="1:6" ht="12.75" customHeight="1">
      <c r="A15" s="3"/>
      <c r="B15" s="4"/>
      <c r="C15" s="5"/>
      <c r="D15" s="26"/>
      <c r="E15" s="27"/>
      <c r="F15" s="6"/>
    </row>
    <row r="16" spans="1:6" ht="11.25">
      <c r="A16" s="56" t="s">
        <v>9</v>
      </c>
      <c r="B16" s="57" t="s">
        <v>10</v>
      </c>
      <c r="C16" s="5" t="s">
        <v>11</v>
      </c>
      <c r="D16" s="129"/>
      <c r="E16" s="129"/>
      <c r="F16" s="130">
        <f>SUM(F17,F38,F55,F128)</f>
        <v>513409.41599999997</v>
      </c>
    </row>
    <row r="17" spans="1:6" ht="12.75" customHeight="1">
      <c r="A17" s="59" t="s">
        <v>12</v>
      </c>
      <c r="B17" s="60" t="s">
        <v>13</v>
      </c>
      <c r="C17" s="5" t="s">
        <v>11</v>
      </c>
      <c r="D17" s="27"/>
      <c r="E17" s="27"/>
      <c r="F17" s="6">
        <f>SUM(F18,F25,F36,F37)</f>
        <v>123678.901</v>
      </c>
    </row>
    <row r="18" spans="1:6" ht="12.75" customHeight="1">
      <c r="A18" s="7" t="s">
        <v>14</v>
      </c>
      <c r="B18" s="8" t="s">
        <v>15</v>
      </c>
      <c r="C18" s="9" t="s">
        <v>11</v>
      </c>
      <c r="D18" s="26"/>
      <c r="E18" s="27"/>
      <c r="F18" s="6">
        <f>SUM(F19:F24)</f>
        <v>5156.224</v>
      </c>
    </row>
    <row r="19" spans="1:6" ht="12.75" customHeight="1">
      <c r="A19" s="7" t="s">
        <v>16</v>
      </c>
      <c r="B19" s="8" t="s">
        <v>17</v>
      </c>
      <c r="C19" s="9" t="s">
        <v>232</v>
      </c>
      <c r="D19" s="26">
        <v>1</v>
      </c>
      <c r="E19" s="27">
        <v>2590900</v>
      </c>
      <c r="F19" s="6">
        <f>D19*E19/1000</f>
        <v>2590.9</v>
      </c>
    </row>
    <row r="20" spans="1:6" ht="12.75" customHeight="1">
      <c r="A20" s="7" t="s">
        <v>18</v>
      </c>
      <c r="B20" s="8" t="s">
        <v>19</v>
      </c>
      <c r="C20" s="9" t="s">
        <v>232</v>
      </c>
      <c r="D20" s="26"/>
      <c r="E20" s="27"/>
      <c r="F20" s="6"/>
    </row>
    <row r="21" spans="1:6" ht="12.75" customHeight="1">
      <c r="A21" s="7" t="s">
        <v>327</v>
      </c>
      <c r="B21" s="8" t="s">
        <v>20</v>
      </c>
      <c r="C21" s="9" t="s">
        <v>232</v>
      </c>
      <c r="D21" s="26">
        <v>1</v>
      </c>
      <c r="E21" s="27">
        <v>2565324</v>
      </c>
      <c r="F21" s="6">
        <f>D21*E21/1000</f>
        <v>2565.324</v>
      </c>
    </row>
    <row r="22" spans="1:6" ht="12.75" customHeight="1">
      <c r="A22" s="7" t="s">
        <v>21</v>
      </c>
      <c r="B22" s="8" t="s">
        <v>22</v>
      </c>
      <c r="C22" s="9" t="s">
        <v>123</v>
      </c>
      <c r="D22" s="26"/>
      <c r="E22" s="27"/>
      <c r="F22" s="6"/>
    </row>
    <row r="23" spans="1:6" ht="12.75" customHeight="1">
      <c r="A23" s="7" t="s">
        <v>23</v>
      </c>
      <c r="B23" s="8" t="s">
        <v>24</v>
      </c>
      <c r="C23" s="9" t="s">
        <v>123</v>
      </c>
      <c r="D23" s="26"/>
      <c r="E23" s="27"/>
      <c r="F23" s="6"/>
    </row>
    <row r="24" spans="1:6" ht="12.75" customHeight="1">
      <c r="A24" s="7" t="s">
        <v>25</v>
      </c>
      <c r="B24" s="8" t="s">
        <v>328</v>
      </c>
      <c r="C24" s="9" t="s">
        <v>11</v>
      </c>
      <c r="D24" s="26"/>
      <c r="E24" s="27"/>
      <c r="F24" s="6"/>
    </row>
    <row r="25" spans="1:6" ht="12.75" customHeight="1">
      <c r="A25" s="7" t="s">
        <v>27</v>
      </c>
      <c r="B25" s="8" t="s">
        <v>329</v>
      </c>
      <c r="C25" s="9" t="s">
        <v>11</v>
      </c>
      <c r="D25" s="26"/>
      <c r="E25" s="27"/>
      <c r="F25" s="6">
        <f>SUM(F26:F35)</f>
        <v>102849.677</v>
      </c>
    </row>
    <row r="26" spans="1:6" ht="12.75" customHeight="1">
      <c r="A26" s="7" t="s">
        <v>330</v>
      </c>
      <c r="B26" s="8" t="s">
        <v>17</v>
      </c>
      <c r="C26" s="9" t="s">
        <v>232</v>
      </c>
      <c r="D26" s="26">
        <v>1</v>
      </c>
      <c r="E26" s="27">
        <v>6699181</v>
      </c>
      <c r="F26" s="6">
        <f aca="true" t="shared" si="0" ref="F26:F35">D26*E26/1000</f>
        <v>6699.181</v>
      </c>
    </row>
    <row r="27" spans="1:6" ht="12.75" customHeight="1">
      <c r="A27" s="7" t="s">
        <v>331</v>
      </c>
      <c r="B27" s="8" t="s">
        <v>332</v>
      </c>
      <c r="C27" s="9" t="s">
        <v>232</v>
      </c>
      <c r="D27" s="26"/>
      <c r="E27" s="27"/>
      <c r="F27" s="6">
        <f t="shared" si="0"/>
        <v>0</v>
      </c>
    </row>
    <row r="28" spans="1:6" ht="12.75" customHeight="1">
      <c r="A28" s="7" t="s">
        <v>28</v>
      </c>
      <c r="B28" s="8" t="s">
        <v>19</v>
      </c>
      <c r="C28" s="9" t="s">
        <v>232</v>
      </c>
      <c r="D28" s="26">
        <v>1</v>
      </c>
      <c r="E28" s="27">
        <v>107790</v>
      </c>
      <c r="F28" s="6">
        <f t="shared" si="0"/>
        <v>107.79</v>
      </c>
    </row>
    <row r="29" spans="1:6" ht="12.75" customHeight="1">
      <c r="A29" s="7" t="s">
        <v>333</v>
      </c>
      <c r="B29" s="8" t="s">
        <v>334</v>
      </c>
      <c r="C29" s="9" t="s">
        <v>232</v>
      </c>
      <c r="D29" s="26">
        <v>1</v>
      </c>
      <c r="E29" s="27">
        <v>2952204</v>
      </c>
      <c r="F29" s="6">
        <f t="shared" si="0"/>
        <v>2952.204</v>
      </c>
    </row>
    <row r="30" spans="1:6" ht="12.75" customHeight="1">
      <c r="A30" s="7" t="s">
        <v>335</v>
      </c>
      <c r="B30" s="8" t="s">
        <v>336</v>
      </c>
      <c r="C30" s="9" t="s">
        <v>232</v>
      </c>
      <c r="D30" s="26"/>
      <c r="E30" s="27"/>
      <c r="F30" s="6">
        <f t="shared" si="0"/>
        <v>0</v>
      </c>
    </row>
    <row r="31" spans="1:6" ht="12.75" customHeight="1">
      <c r="A31" s="7" t="s">
        <v>29</v>
      </c>
      <c r="B31" s="8" t="s">
        <v>30</v>
      </c>
      <c r="C31" s="9" t="s">
        <v>232</v>
      </c>
      <c r="D31" s="26">
        <v>1</v>
      </c>
      <c r="E31" s="27">
        <v>1578500</v>
      </c>
      <c r="F31" s="6">
        <f t="shared" si="0"/>
        <v>1578.5</v>
      </c>
    </row>
    <row r="32" spans="1:6" ht="12.75" customHeight="1">
      <c r="A32" s="7" t="s">
        <v>31</v>
      </c>
      <c r="B32" s="8" t="s">
        <v>32</v>
      </c>
      <c r="C32" s="9" t="s">
        <v>232</v>
      </c>
      <c r="D32" s="26"/>
      <c r="E32" s="27"/>
      <c r="F32" s="6">
        <f t="shared" si="0"/>
        <v>0</v>
      </c>
    </row>
    <row r="33" spans="1:6" ht="12.75" customHeight="1">
      <c r="A33" s="7" t="s">
        <v>33</v>
      </c>
      <c r="B33" s="8" t="s">
        <v>22</v>
      </c>
      <c r="C33" s="9" t="s">
        <v>232</v>
      </c>
      <c r="D33" s="26">
        <v>1</v>
      </c>
      <c r="E33" s="27">
        <v>30800</v>
      </c>
      <c r="F33" s="6">
        <f t="shared" si="0"/>
        <v>30.8</v>
      </c>
    </row>
    <row r="34" spans="1:6" ht="12.75" customHeight="1">
      <c r="A34" s="7" t="s">
        <v>34</v>
      </c>
      <c r="B34" s="8" t="s">
        <v>24</v>
      </c>
      <c r="C34" s="9" t="s">
        <v>232</v>
      </c>
      <c r="D34" s="26"/>
      <c r="E34" s="27"/>
      <c r="F34" s="6">
        <f t="shared" si="0"/>
        <v>0</v>
      </c>
    </row>
    <row r="35" spans="1:6" ht="12.75" customHeight="1">
      <c r="A35" s="7" t="s">
        <v>35</v>
      </c>
      <c r="B35" s="8" t="s">
        <v>337</v>
      </c>
      <c r="C35" s="9" t="s">
        <v>11</v>
      </c>
      <c r="D35" s="26">
        <v>1</v>
      </c>
      <c r="E35" s="27">
        <v>91481202</v>
      </c>
      <c r="F35" s="6">
        <f t="shared" si="0"/>
        <v>91481.202</v>
      </c>
    </row>
    <row r="36" spans="1:6" ht="12.75" customHeight="1">
      <c r="A36" s="7" t="s">
        <v>36</v>
      </c>
      <c r="B36" s="8" t="s">
        <v>37</v>
      </c>
      <c r="C36" s="9" t="s">
        <v>11</v>
      </c>
      <c r="D36" s="26"/>
      <c r="E36" s="73"/>
      <c r="F36" s="72">
        <v>3085</v>
      </c>
    </row>
    <row r="37" spans="1:6" ht="12.75" customHeight="1">
      <c r="A37" s="7" t="s">
        <v>38</v>
      </c>
      <c r="B37" s="8" t="s">
        <v>39</v>
      </c>
      <c r="C37" s="9" t="s">
        <v>11</v>
      </c>
      <c r="D37" s="26"/>
      <c r="E37" s="27"/>
      <c r="F37" s="6">
        <v>12588</v>
      </c>
    </row>
    <row r="38" spans="1:6" ht="12.75" customHeight="1">
      <c r="A38" s="59" t="s">
        <v>40</v>
      </c>
      <c r="B38" s="60" t="s">
        <v>41</v>
      </c>
      <c r="C38" s="5" t="s">
        <v>11</v>
      </c>
      <c r="D38" s="27"/>
      <c r="E38" s="27"/>
      <c r="F38" s="6">
        <f>SUM(F39:F47,F53:F54)</f>
        <v>101885.515</v>
      </c>
    </row>
    <row r="39" spans="1:6" ht="12.75" customHeight="1">
      <c r="A39" s="7" t="s">
        <v>353</v>
      </c>
      <c r="B39" s="8" t="s">
        <v>354</v>
      </c>
      <c r="C39" s="9" t="s">
        <v>42</v>
      </c>
      <c r="D39" s="26">
        <v>45</v>
      </c>
      <c r="E39" s="121">
        <v>797567</v>
      </c>
      <c r="F39" s="6">
        <f>D39*E39/1000</f>
        <v>35890.515</v>
      </c>
    </row>
    <row r="40" spans="1:6" ht="12.75" customHeight="1">
      <c r="A40" s="7" t="s">
        <v>355</v>
      </c>
      <c r="B40" s="8" t="s">
        <v>356</v>
      </c>
      <c r="C40" s="9" t="s">
        <v>42</v>
      </c>
      <c r="D40" s="26"/>
      <c r="E40" s="27"/>
      <c r="F40" s="6">
        <f>D40*E40/1000</f>
        <v>0</v>
      </c>
    </row>
    <row r="41" spans="1:6" ht="12.75" customHeight="1">
      <c r="A41" s="7" t="s">
        <v>43</v>
      </c>
      <c r="B41" s="8" t="s">
        <v>44</v>
      </c>
      <c r="C41" s="9" t="s">
        <v>42</v>
      </c>
      <c r="D41" s="26"/>
      <c r="E41" s="27"/>
      <c r="F41" s="6">
        <f>D41*E41/1000</f>
        <v>0</v>
      </c>
    </row>
    <row r="42" spans="1:6" ht="12.75" customHeight="1">
      <c r="A42" s="7" t="s">
        <v>357</v>
      </c>
      <c r="B42" s="8" t="s">
        <v>45</v>
      </c>
      <c r="C42" s="9" t="s">
        <v>46</v>
      </c>
      <c r="D42" s="26"/>
      <c r="E42" s="27"/>
      <c r="F42" s="6">
        <v>13800</v>
      </c>
    </row>
    <row r="43" spans="1:6" ht="12.75" customHeight="1">
      <c r="A43" s="7" t="s">
        <v>358</v>
      </c>
      <c r="B43" s="8" t="s">
        <v>359</v>
      </c>
      <c r="C43" s="9" t="s">
        <v>11</v>
      </c>
      <c r="D43" s="26"/>
      <c r="E43" s="27"/>
      <c r="F43" s="6"/>
    </row>
    <row r="44" spans="1:6" ht="12.75" customHeight="1">
      <c r="A44" s="7" t="s">
        <v>338</v>
      </c>
      <c r="B44" s="8" t="s">
        <v>360</v>
      </c>
      <c r="C44" s="9" t="s">
        <v>42</v>
      </c>
      <c r="D44" s="26"/>
      <c r="E44" s="27"/>
      <c r="F44" s="6">
        <v>6357</v>
      </c>
    </row>
    <row r="45" spans="1:6" ht="12.75" customHeight="1">
      <c r="A45" s="7" t="s">
        <v>339</v>
      </c>
      <c r="B45" s="8" t="s">
        <v>340</v>
      </c>
      <c r="C45" s="9" t="s">
        <v>42</v>
      </c>
      <c r="D45" s="26"/>
      <c r="E45" s="27"/>
      <c r="F45" s="6">
        <f>D45*E45/1000</f>
        <v>0</v>
      </c>
    </row>
    <row r="46" spans="1:6" ht="12.75" customHeight="1">
      <c r="A46" s="7" t="s">
        <v>47</v>
      </c>
      <c r="B46" s="8" t="s">
        <v>361</v>
      </c>
      <c r="C46" s="9" t="s">
        <v>11</v>
      </c>
      <c r="D46" s="26"/>
      <c r="E46" s="27"/>
      <c r="F46" s="6">
        <v>374</v>
      </c>
    </row>
    <row r="47" spans="1:6" ht="12.75" customHeight="1">
      <c r="A47" s="7" t="s">
        <v>48</v>
      </c>
      <c r="B47" s="8" t="s">
        <v>49</v>
      </c>
      <c r="C47" s="9" t="s">
        <v>11</v>
      </c>
      <c r="D47" s="26"/>
      <c r="E47" s="27"/>
      <c r="F47" s="6">
        <f>SUM(F48:F52)</f>
        <v>42339</v>
      </c>
    </row>
    <row r="48" spans="1:6" ht="12.75" customHeight="1">
      <c r="A48" s="7" t="s">
        <v>50</v>
      </c>
      <c r="B48" s="8" t="s">
        <v>341</v>
      </c>
      <c r="C48" s="9" t="s">
        <v>11</v>
      </c>
      <c r="D48" s="26"/>
      <c r="E48" s="27"/>
      <c r="F48" s="6">
        <v>12184</v>
      </c>
    </row>
    <row r="49" spans="1:6" ht="12.75" customHeight="1">
      <c r="A49" s="7" t="s">
        <v>51</v>
      </c>
      <c r="B49" s="8" t="s">
        <v>52</v>
      </c>
      <c r="C49" s="9" t="s">
        <v>11</v>
      </c>
      <c r="D49" s="26"/>
      <c r="E49" s="27"/>
      <c r="F49" s="6">
        <f>D49*E49/1000</f>
        <v>0</v>
      </c>
    </row>
    <row r="50" spans="1:6" ht="12.75" customHeight="1">
      <c r="A50" s="7" t="s">
        <v>53</v>
      </c>
      <c r="B50" s="8" t="s">
        <v>22</v>
      </c>
      <c r="C50" s="9" t="s">
        <v>11</v>
      </c>
      <c r="D50" s="26"/>
      <c r="E50" s="27"/>
      <c r="F50" s="6">
        <v>16564</v>
      </c>
    </row>
    <row r="51" spans="1:6" ht="12.75" customHeight="1">
      <c r="A51" s="7" t="s">
        <v>54</v>
      </c>
      <c r="B51" s="8" t="s">
        <v>24</v>
      </c>
      <c r="C51" s="9" t="s">
        <v>11</v>
      </c>
      <c r="D51" s="26"/>
      <c r="E51" s="27"/>
      <c r="F51" s="6">
        <f>D51*E51/1000</f>
        <v>0</v>
      </c>
    </row>
    <row r="52" spans="1:6" ht="12.75" customHeight="1">
      <c r="A52" s="7" t="s">
        <v>55</v>
      </c>
      <c r="B52" s="8" t="s">
        <v>26</v>
      </c>
      <c r="C52" s="9" t="s">
        <v>11</v>
      </c>
      <c r="D52" s="26"/>
      <c r="E52" s="27"/>
      <c r="F52" s="6">
        <v>13591</v>
      </c>
    </row>
    <row r="53" spans="1:6" ht="12.75" customHeight="1">
      <c r="A53" s="7" t="s">
        <v>56</v>
      </c>
      <c r="B53" s="8" t="s">
        <v>342</v>
      </c>
      <c r="C53" s="9" t="s">
        <v>11</v>
      </c>
      <c r="D53" s="26"/>
      <c r="E53" s="27"/>
      <c r="F53" s="6">
        <v>2150</v>
      </c>
    </row>
    <row r="54" spans="1:6" ht="12.75" customHeight="1">
      <c r="A54" s="7" t="s">
        <v>57</v>
      </c>
      <c r="B54" s="8" t="s">
        <v>39</v>
      </c>
      <c r="C54" s="9" t="s">
        <v>11</v>
      </c>
      <c r="D54" s="26"/>
      <c r="E54" s="27"/>
      <c r="F54" s="6">
        <v>975</v>
      </c>
    </row>
    <row r="55" spans="1:6" ht="12.75" customHeight="1">
      <c r="A55" s="59" t="s">
        <v>58</v>
      </c>
      <c r="B55" s="60" t="s">
        <v>59</v>
      </c>
      <c r="C55" s="5" t="s">
        <v>11</v>
      </c>
      <c r="D55" s="27"/>
      <c r="E55" s="27"/>
      <c r="F55" s="6">
        <f>SUM(F56,F62,F93,F122,F127)</f>
        <v>265626</v>
      </c>
    </row>
    <row r="56" spans="1:6" ht="12.75" customHeight="1">
      <c r="A56" s="7" t="s">
        <v>60</v>
      </c>
      <c r="B56" s="8" t="s">
        <v>61</v>
      </c>
      <c r="C56" s="9" t="s">
        <v>11</v>
      </c>
      <c r="D56" s="26"/>
      <c r="E56" s="27"/>
      <c r="F56" s="6">
        <f>SUM(F57:F61)</f>
        <v>3995</v>
      </c>
    </row>
    <row r="57" spans="1:6" ht="12.75" customHeight="1">
      <c r="A57" s="7" t="s">
        <v>738</v>
      </c>
      <c r="B57" s="8" t="s">
        <v>743</v>
      </c>
      <c r="C57" s="9" t="s">
        <v>11</v>
      </c>
      <c r="D57" s="26"/>
      <c r="E57" s="27"/>
      <c r="F57" s="6">
        <v>991</v>
      </c>
    </row>
    <row r="58" spans="1:6" ht="12.75" customHeight="1">
      <c r="A58" s="7" t="s">
        <v>739</v>
      </c>
      <c r="B58" s="8" t="s">
        <v>744</v>
      </c>
      <c r="C58" s="9" t="s">
        <v>11</v>
      </c>
      <c r="D58" s="26"/>
      <c r="E58" s="27"/>
      <c r="F58" s="6">
        <v>1500</v>
      </c>
    </row>
    <row r="59" spans="1:6" ht="12.75" customHeight="1">
      <c r="A59" s="7" t="s">
        <v>740</v>
      </c>
      <c r="B59" s="8" t="s">
        <v>745</v>
      </c>
      <c r="C59" s="9" t="s">
        <v>11</v>
      </c>
      <c r="D59" s="26"/>
      <c r="E59" s="27"/>
      <c r="F59" s="6">
        <v>275</v>
      </c>
    </row>
    <row r="60" spans="1:6" ht="12.75" customHeight="1">
      <c r="A60" s="7" t="s">
        <v>741</v>
      </c>
      <c r="B60" s="8" t="s">
        <v>746</v>
      </c>
      <c r="C60" s="9" t="s">
        <v>11</v>
      </c>
      <c r="D60" s="26"/>
      <c r="E60" s="27"/>
      <c r="F60" s="6">
        <v>249</v>
      </c>
    </row>
    <row r="61" spans="1:6" ht="12.75" customHeight="1">
      <c r="A61" s="7" t="s">
        <v>742</v>
      </c>
      <c r="B61" s="8" t="s">
        <v>747</v>
      </c>
      <c r="C61" s="9" t="s">
        <v>11</v>
      </c>
      <c r="D61" s="26"/>
      <c r="E61" s="27"/>
      <c r="F61" s="6">
        <v>980</v>
      </c>
    </row>
    <row r="62" spans="1:6" ht="12.75" customHeight="1">
      <c r="A62" s="7" t="s">
        <v>62</v>
      </c>
      <c r="B62" s="8" t="s">
        <v>63</v>
      </c>
      <c r="C62" s="9" t="s">
        <v>11</v>
      </c>
      <c r="D62" s="26"/>
      <c r="E62" s="27"/>
      <c r="F62" s="6">
        <f>SUM(F63:F83)-F73-F74-F75</f>
        <v>142471</v>
      </c>
    </row>
    <row r="63" spans="1:6" ht="12.75" customHeight="1">
      <c r="A63" s="7" t="s">
        <v>64</v>
      </c>
      <c r="B63" s="8" t="s">
        <v>65</v>
      </c>
      <c r="C63" s="9" t="s">
        <v>232</v>
      </c>
      <c r="D63" s="26">
        <v>10000</v>
      </c>
      <c r="E63" s="27">
        <v>1550</v>
      </c>
      <c r="F63" s="6">
        <f>D63*E63/1000</f>
        <v>15500</v>
      </c>
    </row>
    <row r="64" spans="1:6" ht="12.75" customHeight="1">
      <c r="A64" s="7" t="s">
        <v>343</v>
      </c>
      <c r="B64" s="8" t="s">
        <v>344</v>
      </c>
      <c r="C64" s="9" t="s">
        <v>87</v>
      </c>
      <c r="D64" s="76">
        <v>0.5</v>
      </c>
      <c r="E64" s="27">
        <v>8000000</v>
      </c>
      <c r="F64" s="6">
        <f>D64/100*E64</f>
        <v>40000</v>
      </c>
    </row>
    <row r="65" spans="1:6" ht="12.75" customHeight="1">
      <c r="A65" s="7" t="s">
        <v>345</v>
      </c>
      <c r="B65" s="8" t="s">
        <v>748</v>
      </c>
      <c r="C65" s="9" t="s">
        <v>749</v>
      </c>
      <c r="D65" s="26">
        <v>1</v>
      </c>
      <c r="E65" s="27"/>
      <c r="F65" s="6">
        <f>350000/1000</f>
        <v>350</v>
      </c>
    </row>
    <row r="66" spans="1:6" ht="12.75" customHeight="1">
      <c r="A66" s="7" t="s">
        <v>66</v>
      </c>
      <c r="B66" s="8" t="s">
        <v>750</v>
      </c>
      <c r="C66" s="9" t="s">
        <v>751</v>
      </c>
      <c r="D66" s="26">
        <v>4</v>
      </c>
      <c r="E66" s="27">
        <v>800000</v>
      </c>
      <c r="F66" s="131">
        <f>D66*E66/1000</f>
        <v>3200</v>
      </c>
    </row>
    <row r="67" spans="1:6" ht="12.75" customHeight="1">
      <c r="A67" s="7" t="s">
        <v>67</v>
      </c>
      <c r="B67" s="8" t="s">
        <v>68</v>
      </c>
      <c r="C67" s="9" t="s">
        <v>11</v>
      </c>
      <c r="D67" s="26"/>
      <c r="E67" s="27"/>
      <c r="F67" s="6">
        <v>9324</v>
      </c>
    </row>
    <row r="68" spans="1:6" ht="12.75" customHeight="1">
      <c r="A68" s="7" t="s">
        <v>752</v>
      </c>
      <c r="B68" s="8" t="s">
        <v>753</v>
      </c>
      <c r="C68" s="9" t="s">
        <v>751</v>
      </c>
      <c r="D68" s="26">
        <v>5</v>
      </c>
      <c r="E68" s="27">
        <v>500000</v>
      </c>
      <c r="F68" s="6">
        <f>D68*E68/1000</f>
        <v>2500</v>
      </c>
    </row>
    <row r="69" spans="1:6" ht="12.75" customHeight="1">
      <c r="A69" s="7" t="s">
        <v>756</v>
      </c>
      <c r="B69" s="8" t="s">
        <v>754</v>
      </c>
      <c r="C69" s="9" t="s">
        <v>751</v>
      </c>
      <c r="D69" s="26">
        <v>2</v>
      </c>
      <c r="E69" s="27">
        <v>750000</v>
      </c>
      <c r="F69" s="6">
        <f aca="true" t="shared" si="1" ref="F69:F84">D69*E69/1000</f>
        <v>1500</v>
      </c>
    </row>
    <row r="70" spans="1:6" ht="12.75" customHeight="1">
      <c r="A70" s="7" t="s">
        <v>757</v>
      </c>
      <c r="B70" s="8" t="s">
        <v>778</v>
      </c>
      <c r="C70" s="9" t="s">
        <v>751</v>
      </c>
      <c r="D70" s="26">
        <v>4</v>
      </c>
      <c r="E70" s="27">
        <v>187000</v>
      </c>
      <c r="F70" s="6">
        <f t="shared" si="1"/>
        <v>748</v>
      </c>
    </row>
    <row r="71" spans="1:6" ht="12.75" customHeight="1">
      <c r="A71" s="7" t="s">
        <v>758</v>
      </c>
      <c r="B71" s="8" t="s">
        <v>761</v>
      </c>
      <c r="C71" s="9" t="s">
        <v>751</v>
      </c>
      <c r="D71" s="26">
        <v>4</v>
      </c>
      <c r="E71" s="27">
        <v>207000</v>
      </c>
      <c r="F71" s="6">
        <f t="shared" si="1"/>
        <v>828</v>
      </c>
    </row>
    <row r="72" spans="1:6" ht="12.75" customHeight="1">
      <c r="A72" s="7" t="s">
        <v>759</v>
      </c>
      <c r="B72" s="8" t="s">
        <v>755</v>
      </c>
      <c r="C72" s="9" t="s">
        <v>11</v>
      </c>
      <c r="D72" s="26"/>
      <c r="E72" s="27"/>
      <c r="F72" s="6">
        <f>SUM(F73:F75)</f>
        <v>3148</v>
      </c>
    </row>
    <row r="73" spans="1:6" ht="12.75" customHeight="1">
      <c r="A73" s="7" t="s">
        <v>762</v>
      </c>
      <c r="B73" s="8" t="s">
        <v>765</v>
      </c>
      <c r="C73" s="9" t="s">
        <v>751</v>
      </c>
      <c r="D73" s="26">
        <v>4</v>
      </c>
      <c r="E73" s="27">
        <v>237000</v>
      </c>
      <c r="F73" s="6">
        <f t="shared" si="1"/>
        <v>948</v>
      </c>
    </row>
    <row r="74" spans="1:6" ht="12.75" customHeight="1">
      <c r="A74" s="7" t="s">
        <v>763</v>
      </c>
      <c r="B74" s="8" t="s">
        <v>766</v>
      </c>
      <c r="C74" s="9" t="s">
        <v>751</v>
      </c>
      <c r="D74" s="26">
        <v>4</v>
      </c>
      <c r="E74" s="27">
        <v>150000</v>
      </c>
      <c r="F74" s="6">
        <f t="shared" si="1"/>
        <v>600</v>
      </c>
    </row>
    <row r="75" spans="1:6" ht="12.75" customHeight="1">
      <c r="A75" s="7" t="s">
        <v>764</v>
      </c>
      <c r="B75" s="8" t="s">
        <v>767</v>
      </c>
      <c r="C75" s="9" t="s">
        <v>751</v>
      </c>
      <c r="D75" s="26">
        <v>4</v>
      </c>
      <c r="E75" s="27">
        <v>400000</v>
      </c>
      <c r="F75" s="6">
        <f t="shared" si="1"/>
        <v>1600</v>
      </c>
    </row>
    <row r="76" spans="1:6" ht="12.75" customHeight="1">
      <c r="A76" s="7" t="s">
        <v>760</v>
      </c>
      <c r="B76" s="8" t="s">
        <v>768</v>
      </c>
      <c r="C76" s="9" t="s">
        <v>751</v>
      </c>
      <c r="D76" s="26">
        <v>4</v>
      </c>
      <c r="E76" s="27">
        <v>150000</v>
      </c>
      <c r="F76" s="6">
        <f t="shared" si="1"/>
        <v>600</v>
      </c>
    </row>
    <row r="77" spans="1:6" ht="12.75" customHeight="1">
      <c r="A77" s="7" t="s">
        <v>772</v>
      </c>
      <c r="B77" s="8" t="s">
        <v>770</v>
      </c>
      <c r="C77" s="9" t="s">
        <v>751</v>
      </c>
      <c r="D77" s="26">
        <v>12</v>
      </c>
      <c r="E77" s="27">
        <v>1500000</v>
      </c>
      <c r="F77" s="6">
        <f t="shared" si="1"/>
        <v>18000</v>
      </c>
    </row>
    <row r="78" spans="1:6" ht="12.75" customHeight="1">
      <c r="A78" s="7" t="s">
        <v>773</v>
      </c>
      <c r="B78" s="8" t="s">
        <v>769</v>
      </c>
      <c r="C78" s="9" t="s">
        <v>113</v>
      </c>
      <c r="D78" s="26">
        <v>1</v>
      </c>
      <c r="E78" s="27"/>
      <c r="F78" s="6">
        <v>13000</v>
      </c>
    </row>
    <row r="79" spans="1:6" ht="12.75" customHeight="1">
      <c r="A79" s="7" t="s">
        <v>774</v>
      </c>
      <c r="B79" s="8" t="s">
        <v>771</v>
      </c>
      <c r="C79" s="9" t="s">
        <v>775</v>
      </c>
      <c r="D79" s="26">
        <v>5</v>
      </c>
      <c r="E79" s="27">
        <v>270000</v>
      </c>
      <c r="F79" s="6">
        <f t="shared" si="1"/>
        <v>1350</v>
      </c>
    </row>
    <row r="80" spans="1:6" ht="12.75" customHeight="1">
      <c r="A80" s="7" t="s">
        <v>69</v>
      </c>
      <c r="B80" s="8" t="s">
        <v>776</v>
      </c>
      <c r="C80" s="9" t="s">
        <v>777</v>
      </c>
      <c r="D80" s="26">
        <v>114</v>
      </c>
      <c r="E80" s="27">
        <v>80000</v>
      </c>
      <c r="F80" s="6">
        <f>D80*E80/1000</f>
        <v>9120</v>
      </c>
    </row>
    <row r="81" spans="1:6" ht="12.75" customHeight="1">
      <c r="A81" s="7" t="s">
        <v>779</v>
      </c>
      <c r="B81" s="8" t="s">
        <v>780</v>
      </c>
      <c r="C81" s="9" t="s">
        <v>777</v>
      </c>
      <c r="D81" s="26">
        <v>38</v>
      </c>
      <c r="E81" s="27">
        <v>150000</v>
      </c>
      <c r="F81" s="6">
        <f>D81*E81/1000</f>
        <v>5700</v>
      </c>
    </row>
    <row r="82" spans="1:6" ht="12.75" customHeight="1">
      <c r="A82" s="7" t="s">
        <v>70</v>
      </c>
      <c r="B82" s="8" t="s">
        <v>781</v>
      </c>
      <c r="C82" s="9" t="s">
        <v>751</v>
      </c>
      <c r="D82" s="26">
        <v>8</v>
      </c>
      <c r="E82" s="27">
        <v>1250000</v>
      </c>
      <c r="F82" s="6">
        <f t="shared" si="1"/>
        <v>10000</v>
      </c>
    </row>
    <row r="83" spans="1:6" ht="12.75" customHeight="1">
      <c r="A83" s="7" t="s">
        <v>71</v>
      </c>
      <c r="B83" s="8" t="s">
        <v>328</v>
      </c>
      <c r="C83" s="9" t="s">
        <v>11</v>
      </c>
      <c r="D83" s="26"/>
      <c r="E83" s="27"/>
      <c r="F83" s="6">
        <f>SUM(F84:F92)</f>
        <v>7603</v>
      </c>
    </row>
    <row r="84" spans="1:6" ht="12.75" customHeight="1">
      <c r="A84" s="7" t="s">
        <v>782</v>
      </c>
      <c r="B84" s="8" t="s">
        <v>783</v>
      </c>
      <c r="C84" s="9" t="s">
        <v>751</v>
      </c>
      <c r="D84" s="26">
        <v>10</v>
      </c>
      <c r="E84" s="27">
        <v>125000</v>
      </c>
      <c r="F84" s="6">
        <f t="shared" si="1"/>
        <v>1250</v>
      </c>
    </row>
    <row r="85" spans="1:6" ht="12.75" customHeight="1">
      <c r="A85" s="7" t="s">
        <v>784</v>
      </c>
      <c r="B85" s="8" t="s">
        <v>792</v>
      </c>
      <c r="C85" s="9" t="s">
        <v>113</v>
      </c>
      <c r="D85" s="26">
        <v>4</v>
      </c>
      <c r="E85" s="27">
        <v>111500</v>
      </c>
      <c r="F85" s="6">
        <f aca="true" t="shared" si="2" ref="F85:F91">D85*E85/1000</f>
        <v>446</v>
      </c>
    </row>
    <row r="86" spans="1:6" ht="12.75" customHeight="1">
      <c r="A86" s="7" t="s">
        <v>785</v>
      </c>
      <c r="B86" s="8" t="s">
        <v>786</v>
      </c>
      <c r="C86" s="9" t="s">
        <v>751</v>
      </c>
      <c r="D86" s="26">
        <v>10</v>
      </c>
      <c r="E86" s="27">
        <v>75000</v>
      </c>
      <c r="F86" s="6">
        <f t="shared" si="2"/>
        <v>750</v>
      </c>
    </row>
    <row r="87" spans="1:6" ht="12.75" customHeight="1">
      <c r="A87" s="7" t="s">
        <v>793</v>
      </c>
      <c r="B87" s="8" t="s">
        <v>791</v>
      </c>
      <c r="C87" s="9" t="s">
        <v>113</v>
      </c>
      <c r="D87" s="26">
        <v>3</v>
      </c>
      <c r="E87" s="27">
        <v>186000</v>
      </c>
      <c r="F87" s="6">
        <f t="shared" si="2"/>
        <v>558</v>
      </c>
    </row>
    <row r="88" spans="1:6" ht="12.75" customHeight="1">
      <c r="A88" s="7" t="s">
        <v>794</v>
      </c>
      <c r="B88" s="8" t="s">
        <v>787</v>
      </c>
      <c r="C88" s="9" t="s">
        <v>751</v>
      </c>
      <c r="D88" s="26">
        <v>6</v>
      </c>
      <c r="E88" s="27">
        <v>370000</v>
      </c>
      <c r="F88" s="6">
        <f t="shared" si="2"/>
        <v>2220</v>
      </c>
    </row>
    <row r="89" spans="1:6" ht="12.75" customHeight="1">
      <c r="A89" s="7" t="s">
        <v>795</v>
      </c>
      <c r="B89" s="8" t="s">
        <v>788</v>
      </c>
      <c r="C89" s="9" t="s">
        <v>751</v>
      </c>
      <c r="D89" s="26">
        <v>7</v>
      </c>
      <c r="E89" s="27">
        <v>25000</v>
      </c>
      <c r="F89" s="6">
        <f t="shared" si="2"/>
        <v>175</v>
      </c>
    </row>
    <row r="90" spans="1:6" ht="12.75" customHeight="1">
      <c r="A90" s="7" t="s">
        <v>796</v>
      </c>
      <c r="B90" s="8" t="s">
        <v>789</v>
      </c>
      <c r="C90" s="9" t="s">
        <v>751</v>
      </c>
      <c r="D90" s="26">
        <v>4</v>
      </c>
      <c r="E90" s="27">
        <v>50000</v>
      </c>
      <c r="F90" s="6">
        <f t="shared" si="2"/>
        <v>200</v>
      </c>
    </row>
    <row r="91" spans="1:6" ht="12.75" customHeight="1">
      <c r="A91" s="7" t="s">
        <v>797</v>
      </c>
      <c r="B91" s="8" t="s">
        <v>790</v>
      </c>
      <c r="C91" s="9" t="s">
        <v>777</v>
      </c>
      <c r="D91" s="26">
        <v>192</v>
      </c>
      <c r="E91" s="27">
        <v>7000</v>
      </c>
      <c r="F91" s="6">
        <f t="shared" si="2"/>
        <v>1344</v>
      </c>
    </row>
    <row r="92" spans="1:6" ht="12.75" customHeight="1">
      <c r="A92" s="7" t="s">
        <v>798</v>
      </c>
      <c r="B92" s="8" t="s">
        <v>792</v>
      </c>
      <c r="C92" s="9" t="s">
        <v>113</v>
      </c>
      <c r="D92" s="26">
        <v>4</v>
      </c>
      <c r="E92" s="27">
        <v>165000</v>
      </c>
      <c r="F92" s="6">
        <f>D92*E92/1000</f>
        <v>660</v>
      </c>
    </row>
    <row r="93" spans="1:6" ht="12.75" customHeight="1">
      <c r="A93" s="7" t="s">
        <v>72</v>
      </c>
      <c r="B93" s="8" t="s">
        <v>73</v>
      </c>
      <c r="C93" s="9" t="s">
        <v>11</v>
      </c>
      <c r="D93" s="26"/>
      <c r="E93" s="27"/>
      <c r="F93" s="6">
        <f>SUM(F94:F99)+F103+F106+F110+F121</f>
        <v>93810</v>
      </c>
    </row>
    <row r="94" spans="1:6" ht="12.75" customHeight="1">
      <c r="A94" s="7" t="s">
        <v>74</v>
      </c>
      <c r="B94" s="8" t="s">
        <v>346</v>
      </c>
      <c r="C94" s="9" t="s">
        <v>751</v>
      </c>
      <c r="D94" s="26">
        <v>5</v>
      </c>
      <c r="E94" s="27">
        <v>500000</v>
      </c>
      <c r="F94" s="6">
        <f>D94*E94/1000</f>
        <v>2500</v>
      </c>
    </row>
    <row r="95" spans="1:6" ht="12.75" customHeight="1">
      <c r="A95" s="7" t="s">
        <v>75</v>
      </c>
      <c r="B95" s="8" t="s">
        <v>799</v>
      </c>
      <c r="C95" s="9" t="s">
        <v>751</v>
      </c>
      <c r="D95" s="26">
        <v>12</v>
      </c>
      <c r="E95" s="27">
        <v>1100000</v>
      </c>
      <c r="F95" s="6">
        <f>D95*E95/1000</f>
        <v>13200</v>
      </c>
    </row>
    <row r="96" spans="1:6" ht="12.75" customHeight="1">
      <c r="A96" s="7" t="s">
        <v>800</v>
      </c>
      <c r="B96" s="8" t="s">
        <v>801</v>
      </c>
      <c r="C96" s="9" t="s">
        <v>751</v>
      </c>
      <c r="D96" s="26">
        <v>5</v>
      </c>
      <c r="E96" s="27">
        <v>780000</v>
      </c>
      <c r="F96" s="6">
        <f>D96*E96/1000</f>
        <v>3900</v>
      </c>
    </row>
    <row r="97" spans="1:6" ht="12.75" customHeight="1">
      <c r="A97" s="7" t="s">
        <v>76</v>
      </c>
      <c r="B97" s="8" t="s">
        <v>347</v>
      </c>
      <c r="C97" s="9" t="s">
        <v>11</v>
      </c>
      <c r="D97" s="26"/>
      <c r="E97" s="27"/>
      <c r="F97" s="6"/>
    </row>
    <row r="98" spans="1:6" ht="12.75" customHeight="1">
      <c r="A98" s="7" t="s">
        <v>77</v>
      </c>
      <c r="B98" s="8" t="s">
        <v>348</v>
      </c>
      <c r="C98" s="9" t="s">
        <v>751</v>
      </c>
      <c r="D98" s="26">
        <v>5</v>
      </c>
      <c r="E98" s="27">
        <v>780000</v>
      </c>
      <c r="F98" s="6">
        <f>D98*E98/1000</f>
        <v>3900</v>
      </c>
    </row>
    <row r="99" spans="1:6" ht="12.75" customHeight="1">
      <c r="A99" s="7" t="s">
        <v>78</v>
      </c>
      <c r="B99" s="8" t="s">
        <v>802</v>
      </c>
      <c r="C99" s="9" t="s">
        <v>11</v>
      </c>
      <c r="D99" s="26"/>
      <c r="E99" s="27"/>
      <c r="F99" s="6">
        <f>SUM(F100:F102)</f>
        <v>23000</v>
      </c>
    </row>
    <row r="100" spans="1:6" ht="12.75" customHeight="1">
      <c r="A100" s="7" t="s">
        <v>808</v>
      </c>
      <c r="B100" s="8" t="s">
        <v>803</v>
      </c>
      <c r="C100" s="9" t="s">
        <v>804</v>
      </c>
      <c r="D100" s="26">
        <v>750</v>
      </c>
      <c r="E100" s="27">
        <v>14000</v>
      </c>
      <c r="F100" s="6">
        <f>D100*E100/1000</f>
        <v>10500</v>
      </c>
    </row>
    <row r="101" spans="1:6" ht="12.75" customHeight="1">
      <c r="A101" s="7" t="s">
        <v>809</v>
      </c>
      <c r="B101" s="8" t="s">
        <v>958</v>
      </c>
      <c r="C101" s="9" t="s">
        <v>804</v>
      </c>
      <c r="D101" s="26">
        <v>750</v>
      </c>
      <c r="E101" s="27">
        <v>10000</v>
      </c>
      <c r="F101" s="6">
        <f>D101*E101/1000</f>
        <v>7500</v>
      </c>
    </row>
    <row r="102" spans="1:6" ht="12.75" customHeight="1">
      <c r="A102" s="7" t="s">
        <v>810</v>
      </c>
      <c r="B102" s="8" t="s">
        <v>805</v>
      </c>
      <c r="C102" s="9" t="s">
        <v>806</v>
      </c>
      <c r="D102" s="26"/>
      <c r="E102" s="27"/>
      <c r="F102" s="6">
        <v>5000</v>
      </c>
    </row>
    <row r="103" spans="1:6" ht="12.75" customHeight="1">
      <c r="A103" s="7" t="s">
        <v>807</v>
      </c>
      <c r="B103" s="8" t="s">
        <v>812</v>
      </c>
      <c r="C103" s="9" t="s">
        <v>11</v>
      </c>
      <c r="D103" s="26"/>
      <c r="E103" s="27"/>
      <c r="F103" s="6">
        <f>SUM(F104:F105)</f>
        <v>1710</v>
      </c>
    </row>
    <row r="104" spans="1:6" ht="12.75" customHeight="1">
      <c r="A104" s="7" t="s">
        <v>811</v>
      </c>
      <c r="B104" s="8" t="s">
        <v>813</v>
      </c>
      <c r="C104" s="9" t="s">
        <v>751</v>
      </c>
      <c r="D104" s="26">
        <v>10</v>
      </c>
      <c r="E104" s="27">
        <v>96000</v>
      </c>
      <c r="F104" s="6">
        <f>D104*E104/1000</f>
        <v>960</v>
      </c>
    </row>
    <row r="105" spans="1:6" ht="12.75" customHeight="1">
      <c r="A105" s="7" t="s">
        <v>814</v>
      </c>
      <c r="B105" s="8" t="s">
        <v>815</v>
      </c>
      <c r="C105" s="9" t="s">
        <v>751</v>
      </c>
      <c r="D105" s="26">
        <v>5</v>
      </c>
      <c r="E105" s="27">
        <v>150000</v>
      </c>
      <c r="F105" s="6">
        <f>D105*E105/1000</f>
        <v>750</v>
      </c>
    </row>
    <row r="106" spans="1:6" ht="12.75" customHeight="1">
      <c r="A106" s="7" t="s">
        <v>816</v>
      </c>
      <c r="B106" s="8" t="s">
        <v>817</v>
      </c>
      <c r="C106" s="9" t="s">
        <v>11</v>
      </c>
      <c r="D106" s="26"/>
      <c r="E106" s="27"/>
      <c r="F106" s="6">
        <f>SUM(F107:F109)</f>
        <v>5100</v>
      </c>
    </row>
    <row r="107" spans="1:6" ht="12.75" customHeight="1">
      <c r="A107" s="7" t="s">
        <v>823</v>
      </c>
      <c r="B107" s="8" t="s">
        <v>818</v>
      </c>
      <c r="C107" s="9" t="s">
        <v>821</v>
      </c>
      <c r="D107" s="26">
        <v>100</v>
      </c>
      <c r="E107" s="27">
        <v>40000</v>
      </c>
      <c r="F107" s="6">
        <f>D107*E107/1000</f>
        <v>4000</v>
      </c>
    </row>
    <row r="108" spans="1:6" ht="12.75" customHeight="1">
      <c r="A108" s="7" t="s">
        <v>824</v>
      </c>
      <c r="B108" s="8" t="s">
        <v>819</v>
      </c>
      <c r="C108" s="9" t="s">
        <v>113</v>
      </c>
      <c r="D108" s="26">
        <v>20</v>
      </c>
      <c r="E108" s="27">
        <v>30000</v>
      </c>
      <c r="F108" s="6">
        <f>D108*E108/1000</f>
        <v>600</v>
      </c>
    </row>
    <row r="109" spans="1:6" ht="12.75" customHeight="1">
      <c r="A109" s="7" t="s">
        <v>825</v>
      </c>
      <c r="B109" s="8" t="s">
        <v>820</v>
      </c>
      <c r="C109" s="9" t="s">
        <v>113</v>
      </c>
      <c r="D109" s="26">
        <v>5</v>
      </c>
      <c r="E109" s="27">
        <v>100000</v>
      </c>
      <c r="F109" s="6">
        <f>D109*E109/1000</f>
        <v>500</v>
      </c>
    </row>
    <row r="110" spans="1:6" ht="12.75" customHeight="1">
      <c r="A110" s="7" t="s">
        <v>822</v>
      </c>
      <c r="B110" s="8" t="s">
        <v>826</v>
      </c>
      <c r="C110" s="9" t="s">
        <v>11</v>
      </c>
      <c r="D110" s="26"/>
      <c r="E110" s="27"/>
      <c r="F110" s="6">
        <f>SUM(F111:F120)</f>
        <v>40000</v>
      </c>
    </row>
    <row r="111" spans="1:6" ht="12.75" customHeight="1">
      <c r="A111" s="7" t="s">
        <v>838</v>
      </c>
      <c r="B111" s="8" t="s">
        <v>827</v>
      </c>
      <c r="C111" s="9" t="s">
        <v>806</v>
      </c>
      <c r="D111" s="26"/>
      <c r="E111" s="27"/>
      <c r="F111" s="6">
        <v>7000</v>
      </c>
    </row>
    <row r="112" spans="1:6" ht="12.75" customHeight="1">
      <c r="A112" s="7" t="s">
        <v>839</v>
      </c>
      <c r="B112" s="8" t="s">
        <v>828</v>
      </c>
      <c r="C112" s="9" t="s">
        <v>806</v>
      </c>
      <c r="D112" s="26"/>
      <c r="E112" s="27"/>
      <c r="F112" s="6">
        <v>5000</v>
      </c>
    </row>
    <row r="113" spans="1:6" ht="12.75" customHeight="1">
      <c r="A113" s="7" t="s">
        <v>840</v>
      </c>
      <c r="B113" s="8" t="s">
        <v>829</v>
      </c>
      <c r="C113" s="9" t="s">
        <v>806</v>
      </c>
      <c r="D113" s="26"/>
      <c r="E113" s="27"/>
      <c r="F113" s="6">
        <v>5000</v>
      </c>
    </row>
    <row r="114" spans="1:6" ht="12.75" customHeight="1">
      <c r="A114" s="7" t="s">
        <v>841</v>
      </c>
      <c r="B114" s="8" t="s">
        <v>830</v>
      </c>
      <c r="C114" s="9" t="s">
        <v>806</v>
      </c>
      <c r="D114" s="26"/>
      <c r="E114" s="27"/>
      <c r="F114" s="6">
        <v>4000</v>
      </c>
    </row>
    <row r="115" spans="1:6" ht="12.75" customHeight="1">
      <c r="A115" s="7" t="s">
        <v>842</v>
      </c>
      <c r="B115" s="8" t="s">
        <v>831</v>
      </c>
      <c r="C115" s="9" t="s">
        <v>806</v>
      </c>
      <c r="D115" s="26"/>
      <c r="E115" s="27"/>
      <c r="F115" s="6">
        <v>4000</v>
      </c>
    </row>
    <row r="116" spans="1:6" ht="12.75" customHeight="1">
      <c r="A116" s="7" t="s">
        <v>843</v>
      </c>
      <c r="B116" s="8" t="s">
        <v>832</v>
      </c>
      <c r="C116" s="9" t="s">
        <v>806</v>
      </c>
      <c r="D116" s="26"/>
      <c r="E116" s="27"/>
      <c r="F116" s="6">
        <v>4000</v>
      </c>
    </row>
    <row r="117" spans="1:6" ht="12.75" customHeight="1">
      <c r="A117" s="7" t="s">
        <v>844</v>
      </c>
      <c r="B117" s="8" t="s">
        <v>833</v>
      </c>
      <c r="C117" s="9" t="s">
        <v>806</v>
      </c>
      <c r="D117" s="26"/>
      <c r="E117" s="27"/>
      <c r="F117" s="6">
        <v>3000</v>
      </c>
    </row>
    <row r="118" spans="1:6" ht="12.75" customHeight="1">
      <c r="A118" s="7" t="s">
        <v>845</v>
      </c>
      <c r="B118" s="8" t="s">
        <v>834</v>
      </c>
      <c r="C118" s="9" t="s">
        <v>806</v>
      </c>
      <c r="D118" s="26"/>
      <c r="E118" s="27"/>
      <c r="F118" s="6">
        <v>3000</v>
      </c>
    </row>
    <row r="119" spans="1:6" ht="12.75" customHeight="1">
      <c r="A119" s="7" t="s">
        <v>846</v>
      </c>
      <c r="B119" s="8" t="s">
        <v>835</v>
      </c>
      <c r="C119" s="9" t="s">
        <v>806</v>
      </c>
      <c r="D119" s="26"/>
      <c r="E119" s="27"/>
      <c r="F119" s="6">
        <v>2000</v>
      </c>
    </row>
    <row r="120" spans="1:6" ht="12.75" customHeight="1">
      <c r="A120" s="7" t="s">
        <v>847</v>
      </c>
      <c r="B120" s="8" t="s">
        <v>836</v>
      </c>
      <c r="C120" s="9" t="s">
        <v>806</v>
      </c>
      <c r="D120" s="26"/>
      <c r="E120" s="27"/>
      <c r="F120" s="6">
        <v>3000</v>
      </c>
    </row>
    <row r="121" spans="1:6" ht="12.75" customHeight="1">
      <c r="A121" s="7" t="s">
        <v>79</v>
      </c>
      <c r="B121" s="8" t="s">
        <v>837</v>
      </c>
      <c r="C121" s="9" t="s">
        <v>11</v>
      </c>
      <c r="D121" s="26"/>
      <c r="E121" s="27"/>
      <c r="F121" s="6">
        <v>500</v>
      </c>
    </row>
    <row r="122" spans="1:9" s="107" customFormat="1" ht="12.75" customHeight="1">
      <c r="A122" s="7" t="s">
        <v>80</v>
      </c>
      <c r="B122" s="8" t="s">
        <v>81</v>
      </c>
      <c r="C122" s="9" t="s">
        <v>11</v>
      </c>
      <c r="D122" s="26"/>
      <c r="E122" s="27"/>
      <c r="F122" s="6">
        <f>SUM(F123:F126)</f>
        <v>25350</v>
      </c>
      <c r="G122" s="15"/>
      <c r="H122" s="15"/>
      <c r="I122" s="15"/>
    </row>
    <row r="123" spans="1:6" ht="12.75" customHeight="1">
      <c r="A123" s="7" t="s">
        <v>349</v>
      </c>
      <c r="B123" s="8" t="s">
        <v>350</v>
      </c>
      <c r="C123" s="9" t="s">
        <v>11</v>
      </c>
      <c r="D123" s="26"/>
      <c r="E123" s="27"/>
      <c r="F123" s="6">
        <v>2000</v>
      </c>
    </row>
    <row r="124" spans="1:6" ht="12.75" customHeight="1">
      <c r="A124" s="7" t="s">
        <v>351</v>
      </c>
      <c r="B124" s="8" t="s">
        <v>352</v>
      </c>
      <c r="C124" s="9" t="s">
        <v>751</v>
      </c>
      <c r="D124" s="26">
        <v>10</v>
      </c>
      <c r="E124" s="27">
        <v>2100000</v>
      </c>
      <c r="F124" s="6">
        <f>D124*E124/1000</f>
        <v>21000</v>
      </c>
    </row>
    <row r="125" spans="1:6" ht="12.75" customHeight="1">
      <c r="A125" s="7" t="s">
        <v>82</v>
      </c>
      <c r="B125" s="8" t="s">
        <v>83</v>
      </c>
      <c r="C125" s="9" t="s">
        <v>11</v>
      </c>
      <c r="D125" s="26"/>
      <c r="E125" s="27"/>
      <c r="F125" s="6">
        <v>1200</v>
      </c>
    </row>
    <row r="126" spans="1:6" ht="12.75" customHeight="1">
      <c r="A126" s="7" t="s">
        <v>84</v>
      </c>
      <c r="B126" s="8" t="s">
        <v>328</v>
      </c>
      <c r="C126" s="9" t="s">
        <v>11</v>
      </c>
      <c r="D126" s="26"/>
      <c r="E126" s="27"/>
      <c r="F126" s="6">
        <v>1150</v>
      </c>
    </row>
    <row r="127" spans="1:6" ht="12.75" customHeight="1">
      <c r="A127" s="7" t="s">
        <v>85</v>
      </c>
      <c r="B127" s="8" t="s">
        <v>39</v>
      </c>
      <c r="C127" s="9" t="s">
        <v>11</v>
      </c>
      <c r="D127" s="26"/>
      <c r="E127" s="27"/>
      <c r="F127" s="6"/>
    </row>
    <row r="128" spans="1:6" ht="12.75" customHeight="1">
      <c r="A128" s="59" t="s">
        <v>86</v>
      </c>
      <c r="B128" s="60" t="s">
        <v>439</v>
      </c>
      <c r="C128" s="5" t="s">
        <v>11</v>
      </c>
      <c r="D128" s="27"/>
      <c r="E128" s="27"/>
      <c r="F128" s="6">
        <v>22219</v>
      </c>
    </row>
    <row r="129" spans="1:6" s="15" customFormat="1" ht="12.75" customHeight="1">
      <c r="A129" s="3"/>
      <c r="B129" s="4"/>
      <c r="C129" s="5"/>
      <c r="D129" s="27"/>
      <c r="E129" s="27"/>
      <c r="F129" s="6"/>
    </row>
    <row r="130" spans="1:6" s="15" customFormat="1" ht="12.75" customHeight="1">
      <c r="A130" s="56" t="s">
        <v>88</v>
      </c>
      <c r="B130" s="58" t="s">
        <v>89</v>
      </c>
      <c r="C130" s="5" t="s">
        <v>11</v>
      </c>
      <c r="D130" s="27"/>
      <c r="E130" s="27"/>
      <c r="F130" s="6">
        <f>SUM(F131:F132,F163:F164)</f>
        <v>1109310.9481584325</v>
      </c>
    </row>
    <row r="131" spans="1:6" s="15" customFormat="1" ht="12.75" customHeight="1">
      <c r="A131" s="59" t="s">
        <v>90</v>
      </c>
      <c r="B131" s="60" t="s">
        <v>91</v>
      </c>
      <c r="C131" s="5" t="s">
        <v>11</v>
      </c>
      <c r="D131" s="5"/>
      <c r="E131" s="5"/>
      <c r="F131" s="6"/>
    </row>
    <row r="132" spans="1:6" s="15" customFormat="1" ht="12.75" customHeight="1">
      <c r="A132" s="59" t="s">
        <v>92</v>
      </c>
      <c r="B132" s="60" t="s">
        <v>416</v>
      </c>
      <c r="C132" s="5" t="s">
        <v>11</v>
      </c>
      <c r="D132" s="5"/>
      <c r="E132" s="5"/>
      <c r="F132" s="6">
        <f>SUM(F133,F137,F141,F146,F151,F156,F161,F162,)</f>
        <v>1051588.4528865025</v>
      </c>
    </row>
    <row r="133" spans="1:6" s="15" customFormat="1" ht="12.75" customHeight="1">
      <c r="A133" s="7" t="s">
        <v>93</v>
      </c>
      <c r="B133" s="8" t="s">
        <v>94</v>
      </c>
      <c r="C133" s="9" t="s">
        <v>11</v>
      </c>
      <c r="D133" s="26"/>
      <c r="E133" s="27"/>
      <c r="F133" s="6">
        <f>SUM(F134:F136)</f>
        <v>64723.563075000005</v>
      </c>
    </row>
    <row r="134" spans="1:6" s="15" customFormat="1" ht="12.75" customHeight="1">
      <c r="A134" s="7" t="s">
        <v>95</v>
      </c>
      <c r="B134" s="8" t="s">
        <v>96</v>
      </c>
      <c r="C134" s="9" t="s">
        <v>97</v>
      </c>
      <c r="D134" s="26">
        <v>240390</v>
      </c>
      <c r="E134" s="125">
        <v>9.24</v>
      </c>
      <c r="F134" s="6">
        <f>(D134*E134)/1000</f>
        <v>2221.2036000000003</v>
      </c>
    </row>
    <row r="135" spans="1:6" s="15" customFormat="1" ht="12.75" customHeight="1">
      <c r="A135" s="7" t="s">
        <v>98</v>
      </c>
      <c r="B135" s="8" t="s">
        <v>326</v>
      </c>
      <c r="C135" s="9" t="s">
        <v>97</v>
      </c>
      <c r="D135" s="26">
        <f>2722430-D136</f>
        <v>2415402.5</v>
      </c>
      <c r="E135" s="125">
        <v>21.87</v>
      </c>
      <c r="F135" s="6">
        <f>(D135*E135)/1000</f>
        <v>52824.852675</v>
      </c>
    </row>
    <row r="136" spans="1:6" s="15" customFormat="1" ht="12.75" customHeight="1">
      <c r="A136" s="7" t="s">
        <v>514</v>
      </c>
      <c r="B136" s="8" t="s">
        <v>515</v>
      </c>
      <c r="C136" s="9" t="s">
        <v>97</v>
      </c>
      <c r="D136" s="26">
        <v>307027.5</v>
      </c>
      <c r="E136" s="125">
        <v>31.52</v>
      </c>
      <c r="F136" s="6">
        <f>(D136*E136)/1000</f>
        <v>9677.506800000001</v>
      </c>
    </row>
    <row r="137" spans="1:6" s="15" customFormat="1" ht="12.75" customHeight="1">
      <c r="A137" s="7" t="s">
        <v>99</v>
      </c>
      <c r="B137" s="8" t="s">
        <v>100</v>
      </c>
      <c r="C137" s="9" t="s">
        <v>11</v>
      </c>
      <c r="D137" s="26"/>
      <c r="E137" s="55"/>
      <c r="F137" s="6">
        <f>F138+F140+F139</f>
        <v>11530.1315646</v>
      </c>
    </row>
    <row r="138" spans="1:6" s="15" customFormat="1" ht="12.75" customHeight="1">
      <c r="A138" s="7" t="s">
        <v>517</v>
      </c>
      <c r="B138" s="8" t="s">
        <v>973</v>
      </c>
      <c r="C138" s="9" t="s">
        <v>123</v>
      </c>
      <c r="D138" s="144">
        <v>57665</v>
      </c>
      <c r="E138" s="125">
        <v>46.71</v>
      </c>
      <c r="F138" s="6">
        <f>(D138*E138)/1000</f>
        <v>2693.53215</v>
      </c>
    </row>
    <row r="139" spans="1:6" s="15" customFormat="1" ht="12.75" customHeight="1">
      <c r="A139" s="7" t="s">
        <v>518</v>
      </c>
      <c r="B139" s="8" t="s">
        <v>928</v>
      </c>
      <c r="C139" s="9" t="s">
        <v>102</v>
      </c>
      <c r="D139" s="124">
        <v>5919.98</v>
      </c>
      <c r="E139" s="125">
        <v>791.71</v>
      </c>
      <c r="F139" s="6">
        <f>(D139*E139)/1000</f>
        <v>4686.9073658</v>
      </c>
    </row>
    <row r="140" spans="1:6" s="15" customFormat="1" ht="12.75" customHeight="1">
      <c r="A140" s="7" t="s">
        <v>929</v>
      </c>
      <c r="B140" s="8" t="s">
        <v>972</v>
      </c>
      <c r="C140" s="9" t="s">
        <v>97</v>
      </c>
      <c r="D140" s="124">
        <v>21925.88</v>
      </c>
      <c r="E140" s="125">
        <v>189.26</v>
      </c>
      <c r="F140" s="6">
        <f>(D140*E140)/1000</f>
        <v>4149.6920488</v>
      </c>
    </row>
    <row r="141" spans="1:6" s="15" customFormat="1" ht="12.75" customHeight="1">
      <c r="A141" s="7" t="s">
        <v>412</v>
      </c>
      <c r="B141" s="8" t="s">
        <v>470</v>
      </c>
      <c r="C141" s="9" t="s">
        <v>11</v>
      </c>
      <c r="D141" s="26"/>
      <c r="E141" s="55"/>
      <c r="F141" s="6">
        <f>F142</f>
        <v>810625.483932</v>
      </c>
    </row>
    <row r="142" spans="1:6" ht="12.75" customHeight="1">
      <c r="A142" s="7" t="s">
        <v>408</v>
      </c>
      <c r="B142" s="8" t="s">
        <v>413</v>
      </c>
      <c r="C142" s="9" t="s">
        <v>11</v>
      </c>
      <c r="D142" s="26"/>
      <c r="E142" s="27"/>
      <c r="F142" s="6">
        <f>SUM(F143:F145)</f>
        <v>810625.483932</v>
      </c>
    </row>
    <row r="143" spans="1:6" s="15" customFormat="1" ht="12.75" customHeight="1">
      <c r="A143" s="7" t="s">
        <v>409</v>
      </c>
      <c r="B143" s="8" t="s">
        <v>930</v>
      </c>
      <c r="C143" s="9" t="s">
        <v>102</v>
      </c>
      <c r="D143" s="26">
        <f>0.27*D144</f>
        <v>231541.2</v>
      </c>
      <c r="E143" s="125">
        <v>791.71</v>
      </c>
      <c r="F143" s="6">
        <f>(D143*E143)/1000</f>
        <v>183313.48345200001</v>
      </c>
    </row>
    <row r="144" spans="1:6" s="15" customFormat="1" ht="12.75" customHeight="1">
      <c r="A144" s="7" t="s">
        <v>410</v>
      </c>
      <c r="B144" s="8" t="s">
        <v>414</v>
      </c>
      <c r="C144" s="9" t="s">
        <v>97</v>
      </c>
      <c r="D144" s="26">
        <v>857560</v>
      </c>
      <c r="E144" s="125">
        <v>258.27</v>
      </c>
      <c r="F144" s="6">
        <f>(D144*E144)/1000</f>
        <v>221482.0212</v>
      </c>
    </row>
    <row r="145" spans="1:6" s="15" customFormat="1" ht="12.75" customHeight="1">
      <c r="A145" s="7" t="s">
        <v>411</v>
      </c>
      <c r="B145" s="8" t="s">
        <v>415</v>
      </c>
      <c r="C145" s="9" t="s">
        <v>102</v>
      </c>
      <c r="D145" s="26">
        <f>0.06*D144</f>
        <v>51453.6</v>
      </c>
      <c r="E145" s="125">
        <v>7887.3</v>
      </c>
      <c r="F145" s="6">
        <f>(D145*E145)/1000</f>
        <v>405829.97927999997</v>
      </c>
    </row>
    <row r="146" spans="1:6" s="15" customFormat="1" ht="12.75" customHeight="1">
      <c r="A146" s="7" t="s">
        <v>471</v>
      </c>
      <c r="B146" s="8" t="s">
        <v>483</v>
      </c>
      <c r="C146" s="9" t="s">
        <v>11</v>
      </c>
      <c r="D146" s="26"/>
      <c r="E146" s="55"/>
      <c r="F146" s="6">
        <f>F147</f>
        <v>71840.49720000001</v>
      </c>
    </row>
    <row r="147" spans="1:6" ht="12.75" customHeight="1">
      <c r="A147" s="7" t="s">
        <v>472</v>
      </c>
      <c r="B147" s="8" t="s">
        <v>413</v>
      </c>
      <c r="C147" s="9" t="s">
        <v>11</v>
      </c>
      <c r="D147" s="26"/>
      <c r="E147" s="27"/>
      <c r="F147" s="6">
        <f>SUM(F148:F150)</f>
        <v>71840.49720000001</v>
      </c>
    </row>
    <row r="148" spans="1:6" s="15" customFormat="1" ht="12.75" customHeight="1">
      <c r="A148" s="7" t="s">
        <v>473</v>
      </c>
      <c r="B148" s="8" t="s">
        <v>930</v>
      </c>
      <c r="C148" s="9" t="s">
        <v>102</v>
      </c>
      <c r="D148" s="26">
        <f>0.27*D149</f>
        <v>20520</v>
      </c>
      <c r="E148" s="125">
        <v>791.71</v>
      </c>
      <c r="F148" s="6">
        <f>(D148*E148)/1000</f>
        <v>16245.889200000001</v>
      </c>
    </row>
    <row r="149" spans="1:6" s="15" customFormat="1" ht="12.75" customHeight="1">
      <c r="A149" s="7" t="s">
        <v>474</v>
      </c>
      <c r="B149" s="8" t="s">
        <v>414</v>
      </c>
      <c r="C149" s="9" t="s">
        <v>97</v>
      </c>
      <c r="D149" s="26">
        <v>76000</v>
      </c>
      <c r="E149" s="125">
        <v>258.27</v>
      </c>
      <c r="F149" s="6">
        <f>(D149*E149)/1000</f>
        <v>19628.52</v>
      </c>
    </row>
    <row r="150" spans="1:6" s="15" customFormat="1" ht="12.75" customHeight="1">
      <c r="A150" s="7" t="s">
        <v>475</v>
      </c>
      <c r="B150" s="8" t="s">
        <v>415</v>
      </c>
      <c r="C150" s="9" t="s">
        <v>102</v>
      </c>
      <c r="D150" s="26">
        <f>0.06*D149</f>
        <v>4560</v>
      </c>
      <c r="E150" s="125">
        <v>7887.3</v>
      </c>
      <c r="F150" s="6">
        <f>(D150*E150)/1000</f>
        <v>35966.088</v>
      </c>
    </row>
    <row r="151" spans="1:6" s="15" customFormat="1" ht="12.75" customHeight="1">
      <c r="A151" s="7" t="s">
        <v>478</v>
      </c>
      <c r="B151" s="8" t="s">
        <v>655</v>
      </c>
      <c r="C151" s="95" t="s">
        <v>11</v>
      </c>
      <c r="D151" s="26"/>
      <c r="E151" s="55"/>
      <c r="F151" s="6">
        <f>F152</f>
        <v>35920.248600000006</v>
      </c>
    </row>
    <row r="152" spans="1:6" ht="12.75" customHeight="1">
      <c r="A152" s="7" t="s">
        <v>479</v>
      </c>
      <c r="B152" s="8" t="s">
        <v>413</v>
      </c>
      <c r="C152" s="95" t="s">
        <v>11</v>
      </c>
      <c r="D152" s="26"/>
      <c r="E152" s="27"/>
      <c r="F152" s="6">
        <f>SUM(F153:F155)</f>
        <v>35920.248600000006</v>
      </c>
    </row>
    <row r="153" spans="1:6" s="15" customFormat="1" ht="12.75" customHeight="1">
      <c r="A153" s="7" t="s">
        <v>480</v>
      </c>
      <c r="B153" s="8" t="s">
        <v>930</v>
      </c>
      <c r="C153" s="95" t="s">
        <v>102</v>
      </c>
      <c r="D153" s="26">
        <f>0.27*D154</f>
        <v>10260</v>
      </c>
      <c r="E153" s="125">
        <v>791.71</v>
      </c>
      <c r="F153" s="6">
        <f>(D153*E153)/1000</f>
        <v>8122.944600000001</v>
      </c>
    </row>
    <row r="154" spans="1:6" s="15" customFormat="1" ht="12.75" customHeight="1">
      <c r="A154" s="7" t="s">
        <v>481</v>
      </c>
      <c r="B154" s="8" t="s">
        <v>414</v>
      </c>
      <c r="C154" s="9" t="s">
        <v>97</v>
      </c>
      <c r="D154" s="26">
        <v>38000</v>
      </c>
      <c r="E154" s="125">
        <v>258.27</v>
      </c>
      <c r="F154" s="6">
        <f>(D154*E154)/1000</f>
        <v>9814.26</v>
      </c>
    </row>
    <row r="155" spans="1:6" s="15" customFormat="1" ht="12.75" customHeight="1">
      <c r="A155" s="7" t="s">
        <v>482</v>
      </c>
      <c r="B155" s="8" t="s">
        <v>415</v>
      </c>
      <c r="C155" s="9" t="s">
        <v>102</v>
      </c>
      <c r="D155" s="26">
        <f>0.06*D154</f>
        <v>2280</v>
      </c>
      <c r="E155" s="125">
        <v>7887.3</v>
      </c>
      <c r="F155" s="6">
        <f>(D155*E155)/1000</f>
        <v>17983.044</v>
      </c>
    </row>
    <row r="156" spans="1:6" s="15" customFormat="1" ht="12.75" customHeight="1">
      <c r="A156" s="7" t="s">
        <v>485</v>
      </c>
      <c r="B156" s="8" t="s">
        <v>484</v>
      </c>
      <c r="C156" s="95" t="s">
        <v>11</v>
      </c>
      <c r="D156" s="26"/>
      <c r="E156" s="55"/>
      <c r="F156" s="6">
        <f>F157</f>
        <v>9424.338908999998</v>
      </c>
    </row>
    <row r="157" spans="1:6" ht="12.75" customHeight="1">
      <c r="A157" s="7" t="s">
        <v>486</v>
      </c>
      <c r="B157" s="8" t="s">
        <v>413</v>
      </c>
      <c r="C157" s="95" t="s">
        <v>11</v>
      </c>
      <c r="D157" s="26"/>
      <c r="E157" s="27"/>
      <c r="F157" s="6">
        <f>SUM(F158:F160)</f>
        <v>9424.338908999998</v>
      </c>
    </row>
    <row r="158" spans="1:6" ht="12.75" customHeight="1">
      <c r="A158" s="7" t="s">
        <v>487</v>
      </c>
      <c r="B158" s="8" t="s">
        <v>930</v>
      </c>
      <c r="C158" s="95" t="s">
        <v>102</v>
      </c>
      <c r="D158" s="26">
        <f>0.27*D159</f>
        <v>2691.9</v>
      </c>
      <c r="E158" s="125">
        <v>791.71</v>
      </c>
      <c r="F158" s="6">
        <f>(D158*E158)/1000</f>
        <v>2131.204149</v>
      </c>
    </row>
    <row r="159" spans="1:6" ht="12.75" customHeight="1">
      <c r="A159" s="7" t="s">
        <v>488</v>
      </c>
      <c r="B159" s="8" t="s">
        <v>414</v>
      </c>
      <c r="C159" s="9" t="s">
        <v>97</v>
      </c>
      <c r="D159" s="26">
        <v>9970</v>
      </c>
      <c r="E159" s="125">
        <v>258.27</v>
      </c>
      <c r="F159" s="6">
        <f>(D159*E159)/1000</f>
        <v>2574.9519</v>
      </c>
    </row>
    <row r="160" spans="1:6" ht="12.75" customHeight="1">
      <c r="A160" s="7" t="s">
        <v>489</v>
      </c>
      <c r="B160" s="8" t="s">
        <v>415</v>
      </c>
      <c r="C160" s="9" t="s">
        <v>102</v>
      </c>
      <c r="D160" s="26">
        <f>0.06*D159</f>
        <v>598.1999999999999</v>
      </c>
      <c r="E160" s="125">
        <v>7887.3</v>
      </c>
      <c r="F160" s="6">
        <f>(D160*E160)/1000</f>
        <v>4718.182859999999</v>
      </c>
    </row>
    <row r="161" spans="1:6" ht="12.75" customHeight="1">
      <c r="A161" s="7" t="s">
        <v>476</v>
      </c>
      <c r="B161" s="8" t="s">
        <v>921</v>
      </c>
      <c r="C161" s="9" t="s">
        <v>87</v>
      </c>
      <c r="D161" s="26">
        <v>4</v>
      </c>
      <c r="E161" s="140">
        <f>SUM(F141,F146,F151,F156)</f>
        <v>927810.5686410001</v>
      </c>
      <c r="F161" s="6">
        <f>D161*E161/100</f>
        <v>37112.422745640004</v>
      </c>
    </row>
    <row r="162" spans="1:6" ht="12.75" customHeight="1">
      <c r="A162" s="7" t="s">
        <v>477</v>
      </c>
      <c r="B162" s="8" t="s">
        <v>26</v>
      </c>
      <c r="C162" s="5" t="s">
        <v>87</v>
      </c>
      <c r="D162" s="26">
        <v>1</v>
      </c>
      <c r="E162" s="27"/>
      <c r="F162" s="6">
        <f>SUM(F133,F137,F141,F146,F151,F156,F161)*D162/100</f>
        <v>10411.766860262402</v>
      </c>
    </row>
    <row r="163" spans="1:6" ht="12.75" customHeight="1">
      <c r="A163" s="59" t="s">
        <v>105</v>
      </c>
      <c r="B163" s="60" t="s">
        <v>106</v>
      </c>
      <c r="C163" s="5" t="s">
        <v>11</v>
      </c>
      <c r="D163" s="26">
        <v>1</v>
      </c>
      <c r="E163" s="123">
        <v>35971300.21</v>
      </c>
      <c r="F163" s="6">
        <f>D163*E163/1000</f>
        <v>35971.30021</v>
      </c>
    </row>
    <row r="164" spans="1:6" s="15" customFormat="1" ht="12.75" customHeight="1">
      <c r="A164" s="59" t="s">
        <v>107</v>
      </c>
      <c r="B164" s="60" t="s">
        <v>440</v>
      </c>
      <c r="C164" s="5" t="s">
        <v>87</v>
      </c>
      <c r="D164" s="70">
        <v>2</v>
      </c>
      <c r="E164" s="27"/>
      <c r="F164" s="6">
        <f>(SUM(F131,F132,F163)*D164/100)</f>
        <v>21751.19506193005</v>
      </c>
    </row>
    <row r="165" spans="1:11" s="98" customFormat="1" ht="12.75" customHeight="1">
      <c r="A165" s="3"/>
      <c r="B165" s="4"/>
      <c r="C165" s="5"/>
      <c r="D165" s="27"/>
      <c r="E165" s="27"/>
      <c r="F165" s="6"/>
      <c r="G165" s="15"/>
      <c r="H165" s="15"/>
      <c r="I165" s="15"/>
      <c r="J165" s="15"/>
      <c r="K165" s="15"/>
    </row>
    <row r="166" spans="1:6" s="15" customFormat="1" ht="12.75" customHeight="1">
      <c r="A166" s="56" t="s">
        <v>108</v>
      </c>
      <c r="B166" s="58" t="s">
        <v>286</v>
      </c>
      <c r="C166" s="9" t="s">
        <v>11</v>
      </c>
      <c r="D166" s="27"/>
      <c r="E166" s="27"/>
      <c r="F166" s="6">
        <f>SUM(F167,F263,F341,F418,F487:F488)</f>
        <v>2853951.4141545687</v>
      </c>
    </row>
    <row r="167" spans="1:6" s="15" customFormat="1" ht="12.75" customHeight="1">
      <c r="A167" s="59" t="s">
        <v>109</v>
      </c>
      <c r="B167" s="60" t="s">
        <v>296</v>
      </c>
      <c r="C167" s="5" t="s">
        <v>11</v>
      </c>
      <c r="D167" s="27"/>
      <c r="E167" s="27"/>
      <c r="F167" s="6">
        <f>F168</f>
        <v>93017.96891</v>
      </c>
    </row>
    <row r="168" spans="1:6" s="15" customFormat="1" ht="12.75" customHeight="1">
      <c r="A168" s="7" t="s">
        <v>110</v>
      </c>
      <c r="B168" s="8" t="s">
        <v>297</v>
      </c>
      <c r="C168" s="9" t="s">
        <v>11</v>
      </c>
      <c r="D168" s="8"/>
      <c r="E168" s="8"/>
      <c r="F168" s="6">
        <f>F169+F228+F246</f>
        <v>93017.96891</v>
      </c>
    </row>
    <row r="169" spans="1:6" s="15" customFormat="1" ht="12.75" customHeight="1">
      <c r="A169" s="7" t="s">
        <v>292</v>
      </c>
      <c r="B169" s="8" t="s">
        <v>492</v>
      </c>
      <c r="C169" s="9" t="s">
        <v>11</v>
      </c>
      <c r="D169" s="27"/>
      <c r="E169" s="27"/>
      <c r="F169" s="6">
        <f>F170+F184</f>
        <v>54467.0269</v>
      </c>
    </row>
    <row r="170" spans="1:6" s="15" customFormat="1" ht="12.75" customHeight="1">
      <c r="A170" s="7" t="s">
        <v>372</v>
      </c>
      <c r="B170" s="8" t="s">
        <v>519</v>
      </c>
      <c r="C170" s="9" t="s">
        <v>11</v>
      </c>
      <c r="D170" s="27"/>
      <c r="E170" s="27"/>
      <c r="F170" s="6">
        <f>F171+F175+F179+F181+F183</f>
        <v>15423.618</v>
      </c>
    </row>
    <row r="171" spans="1:6" s="15" customFormat="1" ht="12.75" customHeight="1">
      <c r="A171" s="7" t="s">
        <v>521</v>
      </c>
      <c r="B171" s="8" t="s">
        <v>566</v>
      </c>
      <c r="C171" s="9"/>
      <c r="D171" s="26"/>
      <c r="E171" s="27"/>
      <c r="F171" s="6">
        <f>SUM(F172:F174)</f>
        <v>4442.201999999999</v>
      </c>
    </row>
    <row r="172" spans="1:6" s="15" customFormat="1" ht="12.75" customHeight="1">
      <c r="A172" s="7" t="s">
        <v>522</v>
      </c>
      <c r="B172" s="8" t="s">
        <v>549</v>
      </c>
      <c r="C172" s="9" t="s">
        <v>97</v>
      </c>
      <c r="D172" s="26">
        <v>372600</v>
      </c>
      <c r="E172" s="121">
        <v>9.83</v>
      </c>
      <c r="F172" s="6">
        <f>(D172*E172)/1000</f>
        <v>3662.658</v>
      </c>
    </row>
    <row r="173" spans="1:6" s="15" customFormat="1" ht="12.75" customHeight="1">
      <c r="A173" s="7" t="s">
        <v>523</v>
      </c>
      <c r="B173" s="8" t="s">
        <v>547</v>
      </c>
      <c r="C173" s="9" t="s">
        <v>97</v>
      </c>
      <c r="D173" s="26">
        <v>16200</v>
      </c>
      <c r="E173" s="121">
        <v>18.12</v>
      </c>
      <c r="F173" s="6">
        <f>(D173*E173)/1000</f>
        <v>293.544</v>
      </c>
    </row>
    <row r="174" spans="1:6" s="15" customFormat="1" ht="12.75" customHeight="1">
      <c r="A174" s="7" t="s">
        <v>524</v>
      </c>
      <c r="B174" s="8" t="s">
        <v>548</v>
      </c>
      <c r="C174" s="9" t="s">
        <v>97</v>
      </c>
      <c r="D174" s="26">
        <v>32400</v>
      </c>
      <c r="E174" s="121">
        <v>15</v>
      </c>
      <c r="F174" s="6">
        <f>(D174*E174)/1000</f>
        <v>486</v>
      </c>
    </row>
    <row r="175" spans="1:6" s="15" customFormat="1" ht="12.75" customHeight="1">
      <c r="A175" s="7" t="s">
        <v>525</v>
      </c>
      <c r="B175" s="8" t="s">
        <v>567</v>
      </c>
      <c r="C175" s="9"/>
      <c r="D175" s="26"/>
      <c r="E175" s="27"/>
      <c r="F175" s="6">
        <f>SUM(F176:F178)</f>
        <v>4072.8</v>
      </c>
    </row>
    <row r="176" spans="1:6" s="15" customFormat="1" ht="12.75" customHeight="1">
      <c r="A176" s="7" t="s">
        <v>526</v>
      </c>
      <c r="B176" s="8" t="s">
        <v>549</v>
      </c>
      <c r="C176" s="9" t="s">
        <v>97</v>
      </c>
      <c r="D176" s="26">
        <v>336000</v>
      </c>
      <c r="E176" s="121">
        <v>9.83</v>
      </c>
      <c r="F176" s="6">
        <f>(D176*E176)/1000</f>
        <v>3302.88</v>
      </c>
    </row>
    <row r="177" spans="1:6" s="15" customFormat="1" ht="12.75" customHeight="1">
      <c r="A177" s="7" t="s">
        <v>527</v>
      </c>
      <c r="B177" s="8" t="s">
        <v>547</v>
      </c>
      <c r="C177" s="9" t="s">
        <v>97</v>
      </c>
      <c r="D177" s="26">
        <v>16000</v>
      </c>
      <c r="E177" s="121">
        <v>18.12</v>
      </c>
      <c r="F177" s="6">
        <f>(D177*E177)/1000</f>
        <v>289.92</v>
      </c>
    </row>
    <row r="178" spans="1:6" s="15" customFormat="1" ht="12.75" customHeight="1">
      <c r="A178" s="7" t="s">
        <v>528</v>
      </c>
      <c r="B178" s="8" t="s">
        <v>548</v>
      </c>
      <c r="C178" s="9" t="s">
        <v>97</v>
      </c>
      <c r="D178" s="26">
        <v>32000</v>
      </c>
      <c r="E178" s="121">
        <v>15</v>
      </c>
      <c r="F178" s="6">
        <f>(D178*E178)/1000</f>
        <v>480</v>
      </c>
    </row>
    <row r="179" spans="1:6" s="15" customFormat="1" ht="12.75" customHeight="1">
      <c r="A179" s="7" t="s">
        <v>374</v>
      </c>
      <c r="B179" s="8" t="s">
        <v>568</v>
      </c>
      <c r="C179" s="9" t="s">
        <v>11</v>
      </c>
      <c r="D179" s="26"/>
      <c r="E179" s="27"/>
      <c r="F179" s="6">
        <f>SUM(F180:F180)</f>
        <v>3613.896</v>
      </c>
    </row>
    <row r="180" spans="1:6" s="15" customFormat="1" ht="12.75" customHeight="1">
      <c r="A180" s="7" t="s">
        <v>375</v>
      </c>
      <c r="B180" s="8" t="s">
        <v>550</v>
      </c>
      <c r="C180" s="9" t="s">
        <v>97</v>
      </c>
      <c r="D180" s="26">
        <v>421200</v>
      </c>
      <c r="E180" s="121">
        <v>8.58</v>
      </c>
      <c r="F180" s="6">
        <f>D180*E180/1000</f>
        <v>3613.896</v>
      </c>
    </row>
    <row r="181" spans="1:6" s="15" customFormat="1" ht="12.75" customHeight="1">
      <c r="A181" s="7" t="s">
        <v>373</v>
      </c>
      <c r="B181" s="8" t="s">
        <v>569</v>
      </c>
      <c r="C181" s="9" t="s">
        <v>11</v>
      </c>
      <c r="D181" s="26"/>
      <c r="E181" s="27"/>
      <c r="F181" s="6">
        <f>SUM(F182:F182)</f>
        <v>3294.72</v>
      </c>
    </row>
    <row r="182" spans="1:6" s="15" customFormat="1" ht="12.75" customHeight="1">
      <c r="A182" s="7" t="s">
        <v>529</v>
      </c>
      <c r="B182" s="8" t="s">
        <v>550</v>
      </c>
      <c r="C182" s="9" t="s">
        <v>97</v>
      </c>
      <c r="D182" s="26">
        <v>384000</v>
      </c>
      <c r="E182" s="121">
        <v>8.58</v>
      </c>
      <c r="F182" s="6">
        <f>D182*E182/1000</f>
        <v>3294.72</v>
      </c>
    </row>
    <row r="183" spans="1:6" s="15" customFormat="1" ht="12.75" customHeight="1">
      <c r="A183" s="7" t="s">
        <v>530</v>
      </c>
      <c r="B183" s="8" t="s">
        <v>301</v>
      </c>
      <c r="C183" s="9" t="s">
        <v>11</v>
      </c>
      <c r="D183" s="26" t="s">
        <v>288</v>
      </c>
      <c r="E183" s="69" t="s">
        <v>288</v>
      </c>
      <c r="F183" s="6"/>
    </row>
    <row r="184" spans="1:6" s="15" customFormat="1" ht="12.75" customHeight="1">
      <c r="A184" s="7" t="s">
        <v>520</v>
      </c>
      <c r="B184" s="8" t="s">
        <v>531</v>
      </c>
      <c r="C184" s="9" t="s">
        <v>11</v>
      </c>
      <c r="D184" s="26"/>
      <c r="E184" s="27"/>
      <c r="F184" s="6">
        <f>F185+F189+F193+F197+F201+F205+F209+F212+F215+F218+F221+F224+F227</f>
        <v>39043.408899999995</v>
      </c>
    </row>
    <row r="185" spans="1:6" s="15" customFormat="1" ht="12.75" customHeight="1">
      <c r="A185" s="7" t="s">
        <v>532</v>
      </c>
      <c r="B185" s="8" t="s">
        <v>897</v>
      </c>
      <c r="C185" s="9"/>
      <c r="D185" s="26"/>
      <c r="E185" s="27"/>
      <c r="F185" s="6">
        <f>SUM(F186:F188)</f>
        <v>3804.6945</v>
      </c>
    </row>
    <row r="186" spans="1:6" s="15" customFormat="1" ht="12.75" customHeight="1">
      <c r="A186" s="7" t="s">
        <v>533</v>
      </c>
      <c r="B186" s="8" t="s">
        <v>549</v>
      </c>
      <c r="C186" s="9" t="s">
        <v>97</v>
      </c>
      <c r="D186" s="26">
        <v>330150</v>
      </c>
      <c r="E186" s="121">
        <v>9.83</v>
      </c>
      <c r="F186" s="6">
        <f>(D186*E186)/1000</f>
        <v>3245.3745</v>
      </c>
    </row>
    <row r="187" spans="1:6" s="15" customFormat="1" ht="12.75" customHeight="1">
      <c r="A187" s="7" t="s">
        <v>534</v>
      </c>
      <c r="B187" s="8" t="s">
        <v>547</v>
      </c>
      <c r="C187" s="9" t="s">
        <v>97</v>
      </c>
      <c r="D187" s="26">
        <v>11850</v>
      </c>
      <c r="E187" s="121">
        <v>18.12</v>
      </c>
      <c r="F187" s="6">
        <f>(D187*E187)/1000</f>
        <v>214.722</v>
      </c>
    </row>
    <row r="188" spans="1:6" s="15" customFormat="1" ht="12.75" customHeight="1">
      <c r="A188" s="7" t="s">
        <v>535</v>
      </c>
      <c r="B188" s="8" t="s">
        <v>598</v>
      </c>
      <c r="C188" s="9" t="s">
        <v>97</v>
      </c>
      <c r="D188" s="26">
        <v>23700</v>
      </c>
      <c r="E188" s="121">
        <v>14.54</v>
      </c>
      <c r="F188" s="6">
        <f>(D188*E188)/1000</f>
        <v>344.598</v>
      </c>
    </row>
    <row r="189" spans="1:6" s="15" customFormat="1" ht="12.75" customHeight="1">
      <c r="A189" s="7" t="s">
        <v>536</v>
      </c>
      <c r="B189" s="8" t="s">
        <v>898</v>
      </c>
      <c r="C189" s="9"/>
      <c r="D189" s="26"/>
      <c r="E189" s="27"/>
      <c r="F189" s="6">
        <f>SUM(F190:F192)</f>
        <v>660.6179999999999</v>
      </c>
    </row>
    <row r="190" spans="1:6" s="15" customFormat="1" ht="12.75" customHeight="1">
      <c r="A190" s="7" t="s">
        <v>537</v>
      </c>
      <c r="B190" s="8" t="s">
        <v>549</v>
      </c>
      <c r="C190" s="9" t="s">
        <v>97</v>
      </c>
      <c r="D190" s="26">
        <v>54600</v>
      </c>
      <c r="E190" s="121">
        <v>9.83</v>
      </c>
      <c r="F190" s="6">
        <f>(D190*E190)/1000</f>
        <v>536.718</v>
      </c>
    </row>
    <row r="191" spans="1:6" s="15" customFormat="1" ht="12.75" customHeight="1">
      <c r="A191" s="7" t="s">
        <v>538</v>
      </c>
      <c r="B191" s="8" t="s">
        <v>547</v>
      </c>
      <c r="C191" s="9" t="s">
        <v>97</v>
      </c>
      <c r="D191" s="26">
        <v>2625</v>
      </c>
      <c r="E191" s="121">
        <v>18.12</v>
      </c>
      <c r="F191" s="6">
        <f>(D191*E191)/1000</f>
        <v>47.565</v>
      </c>
    </row>
    <row r="192" spans="1:6" s="15" customFormat="1" ht="12.75" customHeight="1">
      <c r="A192" s="7" t="s">
        <v>539</v>
      </c>
      <c r="B192" s="8" t="s">
        <v>598</v>
      </c>
      <c r="C192" s="9" t="s">
        <v>97</v>
      </c>
      <c r="D192" s="26">
        <v>5250</v>
      </c>
      <c r="E192" s="121">
        <v>14.54</v>
      </c>
      <c r="F192" s="6">
        <f>(D192*E192)/1000</f>
        <v>76.335</v>
      </c>
    </row>
    <row r="193" spans="1:6" s="15" customFormat="1" ht="12.75" customHeight="1">
      <c r="A193" s="7" t="s">
        <v>552</v>
      </c>
      <c r="B193" s="8" t="s">
        <v>899</v>
      </c>
      <c r="C193" s="9"/>
      <c r="D193" s="26"/>
      <c r="E193" s="27"/>
      <c r="F193" s="6">
        <f>SUM(F194:F196)</f>
        <v>660.6179999999999</v>
      </c>
    </row>
    <row r="194" spans="1:6" s="15" customFormat="1" ht="12.75" customHeight="1">
      <c r="A194" s="7" t="s">
        <v>553</v>
      </c>
      <c r="B194" s="8" t="s">
        <v>549</v>
      </c>
      <c r="C194" s="9" t="s">
        <v>97</v>
      </c>
      <c r="D194" s="26">
        <v>54600</v>
      </c>
      <c r="E194" s="121">
        <v>9.83</v>
      </c>
      <c r="F194" s="6">
        <f>(D194*E194)/1000</f>
        <v>536.718</v>
      </c>
    </row>
    <row r="195" spans="1:6" s="15" customFormat="1" ht="12.75" customHeight="1">
      <c r="A195" s="7" t="s">
        <v>554</v>
      </c>
      <c r="B195" s="8" t="s">
        <v>547</v>
      </c>
      <c r="C195" s="9" t="s">
        <v>97</v>
      </c>
      <c r="D195" s="26">
        <v>2625</v>
      </c>
      <c r="E195" s="121">
        <v>18.12</v>
      </c>
      <c r="F195" s="6">
        <f>(D195*E195)/1000</f>
        <v>47.565</v>
      </c>
    </row>
    <row r="196" spans="1:6" s="15" customFormat="1" ht="12.75" customHeight="1">
      <c r="A196" s="7" t="s">
        <v>555</v>
      </c>
      <c r="B196" s="8" t="s">
        <v>598</v>
      </c>
      <c r="C196" s="9" t="s">
        <v>97</v>
      </c>
      <c r="D196" s="26">
        <v>5250</v>
      </c>
      <c r="E196" s="121">
        <v>14.54</v>
      </c>
      <c r="F196" s="6">
        <f>(D196*E196)/1000</f>
        <v>76.335</v>
      </c>
    </row>
    <row r="197" spans="1:6" s="15" customFormat="1" ht="12.75" customHeight="1">
      <c r="A197" s="7" t="s">
        <v>556</v>
      </c>
      <c r="B197" s="8" t="s">
        <v>900</v>
      </c>
      <c r="C197" s="9"/>
      <c r="D197" s="26"/>
      <c r="E197" s="27"/>
      <c r="F197" s="6">
        <f>SUM(F198:F200)</f>
        <v>2199.266</v>
      </c>
    </row>
    <row r="198" spans="1:6" s="15" customFormat="1" ht="12.75" customHeight="1">
      <c r="A198" s="7" t="s">
        <v>557</v>
      </c>
      <c r="B198" s="8" t="s">
        <v>549</v>
      </c>
      <c r="C198" s="9" t="s">
        <v>97</v>
      </c>
      <c r="D198" s="26">
        <v>194200</v>
      </c>
      <c r="E198" s="121">
        <v>9.83</v>
      </c>
      <c r="F198" s="6">
        <f>(D198*E198)/1000</f>
        <v>1908.986</v>
      </c>
    </row>
    <row r="199" spans="1:6" s="15" customFormat="1" ht="12.75" customHeight="1">
      <c r="A199" s="7" t="s">
        <v>558</v>
      </c>
      <c r="B199" s="8" t="s">
        <v>547</v>
      </c>
      <c r="C199" s="9" t="s">
        <v>97</v>
      </c>
      <c r="D199" s="26">
        <v>6150</v>
      </c>
      <c r="E199" s="121">
        <v>18.12</v>
      </c>
      <c r="F199" s="6">
        <f>(D199*E199)/1000</f>
        <v>111.438</v>
      </c>
    </row>
    <row r="200" spans="1:6" s="15" customFormat="1" ht="12.75" customHeight="1">
      <c r="A200" s="7" t="s">
        <v>559</v>
      </c>
      <c r="B200" s="8" t="s">
        <v>598</v>
      </c>
      <c r="C200" s="9" t="s">
        <v>97</v>
      </c>
      <c r="D200" s="26">
        <v>12300</v>
      </c>
      <c r="E200" s="121">
        <v>14.54</v>
      </c>
      <c r="F200" s="6">
        <f>(D200*E200)/1000</f>
        <v>178.842</v>
      </c>
    </row>
    <row r="201" spans="1:6" s="15" customFormat="1" ht="12.75" customHeight="1">
      <c r="A201" s="7" t="s">
        <v>570</v>
      </c>
      <c r="B201" s="8" t="s">
        <v>901</v>
      </c>
      <c r="C201" s="9"/>
      <c r="D201" s="26"/>
      <c r="E201" s="27"/>
      <c r="F201" s="6">
        <f>SUM(F202:F204)</f>
        <v>7839.625</v>
      </c>
    </row>
    <row r="202" spans="1:6" s="15" customFormat="1" ht="12.75" customHeight="1">
      <c r="A202" s="7" t="s">
        <v>571</v>
      </c>
      <c r="B202" s="8" t="s">
        <v>549</v>
      </c>
      <c r="C202" s="9" t="s">
        <v>97</v>
      </c>
      <c r="D202" s="26">
        <v>737500</v>
      </c>
      <c r="E202" s="121">
        <v>9.83</v>
      </c>
      <c r="F202" s="6">
        <f>(D202*E202)/1000</f>
        <v>7249.625</v>
      </c>
    </row>
    <row r="203" spans="1:6" s="15" customFormat="1" ht="12.75" customHeight="1">
      <c r="A203" s="7" t="s">
        <v>572</v>
      </c>
      <c r="B203" s="8" t="s">
        <v>547</v>
      </c>
      <c r="C203" s="9" t="s">
        <v>97</v>
      </c>
      <c r="D203" s="26">
        <v>12500</v>
      </c>
      <c r="E203" s="121">
        <v>18.12</v>
      </c>
      <c r="F203" s="6">
        <f>(D203*E203)/1000</f>
        <v>226.5</v>
      </c>
    </row>
    <row r="204" spans="1:6" s="15" customFormat="1" ht="12.75" customHeight="1">
      <c r="A204" s="7" t="s">
        <v>573</v>
      </c>
      <c r="B204" s="8" t="s">
        <v>598</v>
      </c>
      <c r="C204" s="9" t="s">
        <v>97</v>
      </c>
      <c r="D204" s="26">
        <v>25000</v>
      </c>
      <c r="E204" s="121">
        <v>14.54</v>
      </c>
      <c r="F204" s="6">
        <f>(D204*E204)/1000</f>
        <v>363.5</v>
      </c>
    </row>
    <row r="205" spans="1:6" s="15" customFormat="1" ht="12.75" customHeight="1">
      <c r="A205" s="7" t="s">
        <v>574</v>
      </c>
      <c r="B205" s="8" t="s">
        <v>902</v>
      </c>
      <c r="C205" s="9"/>
      <c r="D205" s="26"/>
      <c r="E205" s="27"/>
      <c r="F205" s="6">
        <f>SUM(F206:F208)</f>
        <v>5988.3096</v>
      </c>
    </row>
    <row r="206" spans="1:6" s="15" customFormat="1" ht="12.75" customHeight="1">
      <c r="A206" s="7" t="s">
        <v>575</v>
      </c>
      <c r="B206" s="8" t="s">
        <v>549</v>
      </c>
      <c r="C206" s="9" t="s">
        <v>97</v>
      </c>
      <c r="D206" s="26">
        <v>552720</v>
      </c>
      <c r="E206" s="121">
        <v>9.83</v>
      </c>
      <c r="F206" s="6">
        <f>(D206*E206)/1000</f>
        <v>5433.2375999999995</v>
      </c>
    </row>
    <row r="207" spans="1:6" s="15" customFormat="1" ht="12.75" customHeight="1">
      <c r="A207" s="7" t="s">
        <v>576</v>
      </c>
      <c r="B207" s="8" t="s">
        <v>547</v>
      </c>
      <c r="C207" s="9" t="s">
        <v>97</v>
      </c>
      <c r="D207" s="26">
        <v>11760</v>
      </c>
      <c r="E207" s="121">
        <v>18.12</v>
      </c>
      <c r="F207" s="6">
        <f>(D207*E207)/1000</f>
        <v>213.09120000000001</v>
      </c>
    </row>
    <row r="208" spans="1:6" s="15" customFormat="1" ht="12.75" customHeight="1">
      <c r="A208" s="7" t="s">
        <v>577</v>
      </c>
      <c r="B208" s="8" t="s">
        <v>598</v>
      </c>
      <c r="C208" s="9" t="s">
        <v>97</v>
      </c>
      <c r="D208" s="26">
        <v>23520</v>
      </c>
      <c r="E208" s="121">
        <v>14.54</v>
      </c>
      <c r="F208" s="6">
        <f>(D208*E208)/1000</f>
        <v>341.9808</v>
      </c>
    </row>
    <row r="209" spans="1:6" s="15" customFormat="1" ht="12.75" customHeight="1">
      <c r="A209" s="7" t="s">
        <v>540</v>
      </c>
      <c r="B209" s="8" t="s">
        <v>903</v>
      </c>
      <c r="C209" s="9" t="s">
        <v>11</v>
      </c>
      <c r="D209" s="26"/>
      <c r="E209" s="27"/>
      <c r="F209" s="6">
        <f>SUM(F210:F211)</f>
        <v>3137.706</v>
      </c>
    </row>
    <row r="210" spans="1:6" s="15" customFormat="1" ht="12.75" customHeight="1">
      <c r="A210" s="7" t="s">
        <v>541</v>
      </c>
      <c r="B210" s="8" t="s">
        <v>550</v>
      </c>
      <c r="C210" s="9" t="s">
        <v>97</v>
      </c>
      <c r="D210" s="26">
        <v>365700</v>
      </c>
      <c r="E210" s="121">
        <v>8.58</v>
      </c>
      <c r="F210" s="6">
        <f>D210*E210/1000</f>
        <v>3137.706</v>
      </c>
    </row>
    <row r="211" spans="1:6" s="15" customFormat="1" ht="12.75" customHeight="1">
      <c r="A211" s="7" t="s">
        <v>542</v>
      </c>
      <c r="B211" s="8" t="s">
        <v>551</v>
      </c>
      <c r="C211" s="9" t="s">
        <v>97</v>
      </c>
      <c r="D211" s="26"/>
      <c r="E211" s="27"/>
      <c r="F211" s="6">
        <f>D211*E211/1000</f>
        <v>0</v>
      </c>
    </row>
    <row r="212" spans="1:6" s="15" customFormat="1" ht="12.75" customHeight="1">
      <c r="A212" s="7" t="s">
        <v>543</v>
      </c>
      <c r="B212" s="8" t="s">
        <v>904</v>
      </c>
      <c r="C212" s="9" t="s">
        <v>11</v>
      </c>
      <c r="D212" s="26"/>
      <c r="E212" s="27"/>
      <c r="F212" s="6">
        <f>SUM(F213:F214)</f>
        <v>536.0355</v>
      </c>
    </row>
    <row r="213" spans="1:6" s="15" customFormat="1" ht="12.75" customHeight="1">
      <c r="A213" s="7" t="s">
        <v>544</v>
      </c>
      <c r="B213" s="8" t="s">
        <v>550</v>
      </c>
      <c r="C213" s="9" t="s">
        <v>97</v>
      </c>
      <c r="D213" s="26">
        <v>62475</v>
      </c>
      <c r="E213" s="121">
        <v>8.58</v>
      </c>
      <c r="F213" s="6">
        <f>D213*E213/1000</f>
        <v>536.0355</v>
      </c>
    </row>
    <row r="214" spans="1:6" s="15" customFormat="1" ht="12.75" customHeight="1">
      <c r="A214" s="7" t="s">
        <v>545</v>
      </c>
      <c r="B214" s="8" t="s">
        <v>551</v>
      </c>
      <c r="C214" s="9" t="s">
        <v>97</v>
      </c>
      <c r="D214" s="26"/>
      <c r="E214" s="27"/>
      <c r="F214" s="6">
        <f>D214*E214/1000</f>
        <v>0</v>
      </c>
    </row>
    <row r="215" spans="1:6" s="15" customFormat="1" ht="12.75" customHeight="1">
      <c r="A215" s="7" t="s">
        <v>546</v>
      </c>
      <c r="B215" s="8" t="s">
        <v>905</v>
      </c>
      <c r="C215" s="9" t="s">
        <v>11</v>
      </c>
      <c r="D215" s="26"/>
      <c r="E215" s="27"/>
      <c r="F215" s="6">
        <f>SUM(F216:F217)</f>
        <v>536.0355</v>
      </c>
    </row>
    <row r="216" spans="1:6" s="15" customFormat="1" ht="12.75" customHeight="1">
      <c r="A216" s="7" t="s">
        <v>560</v>
      </c>
      <c r="B216" s="8" t="s">
        <v>550</v>
      </c>
      <c r="C216" s="9" t="s">
        <v>97</v>
      </c>
      <c r="D216" s="26">
        <v>62475</v>
      </c>
      <c r="E216" s="121">
        <v>8.58</v>
      </c>
      <c r="F216" s="6">
        <f>D216*E216/1000</f>
        <v>536.0355</v>
      </c>
    </row>
    <row r="217" spans="1:6" s="15" customFormat="1" ht="12.75" customHeight="1">
      <c r="A217" s="7" t="s">
        <v>561</v>
      </c>
      <c r="B217" s="8" t="s">
        <v>551</v>
      </c>
      <c r="C217" s="9" t="s">
        <v>97</v>
      </c>
      <c r="D217" s="26"/>
      <c r="E217" s="27"/>
      <c r="F217" s="6">
        <f>D217*E217/1000</f>
        <v>0</v>
      </c>
    </row>
    <row r="218" spans="1:6" s="15" customFormat="1" ht="12.75" customHeight="1">
      <c r="A218" s="7" t="s">
        <v>562</v>
      </c>
      <c r="B218" s="8" t="s">
        <v>906</v>
      </c>
      <c r="C218" s="9" t="s">
        <v>11</v>
      </c>
      <c r="D218" s="26"/>
      <c r="E218" s="27"/>
      <c r="F218" s="6">
        <f>SUM(F219:F220)</f>
        <v>1824.537</v>
      </c>
    </row>
    <row r="219" spans="1:6" s="15" customFormat="1" ht="12.75" customHeight="1">
      <c r="A219" s="7" t="s">
        <v>563</v>
      </c>
      <c r="B219" s="8" t="s">
        <v>550</v>
      </c>
      <c r="C219" s="9" t="s">
        <v>97</v>
      </c>
      <c r="D219" s="26">
        <v>212650</v>
      </c>
      <c r="E219" s="121">
        <v>8.58</v>
      </c>
      <c r="F219" s="6">
        <f>D219*E219/1000</f>
        <v>1824.537</v>
      </c>
    </row>
    <row r="220" spans="1:6" s="15" customFormat="1" ht="12.75" customHeight="1">
      <c r="A220" s="7" t="s">
        <v>564</v>
      </c>
      <c r="B220" s="8" t="s">
        <v>551</v>
      </c>
      <c r="C220" s="9" t="s">
        <v>97</v>
      </c>
      <c r="D220" s="26"/>
      <c r="E220" s="120"/>
      <c r="F220" s="6">
        <f>D220*E220/1000</f>
        <v>0</v>
      </c>
    </row>
    <row r="221" spans="1:6" s="15" customFormat="1" ht="12.75" customHeight="1">
      <c r="A221" s="7" t="s">
        <v>565</v>
      </c>
      <c r="B221" s="8" t="s">
        <v>907</v>
      </c>
      <c r="C221" s="9" t="s">
        <v>11</v>
      </c>
      <c r="D221" s="26"/>
      <c r="E221" s="27"/>
      <c r="F221" s="6">
        <f>SUM(F222:F223)</f>
        <v>6489.299999999999</v>
      </c>
    </row>
    <row r="222" spans="1:6" s="15" customFormat="1" ht="12.75" customHeight="1">
      <c r="A222" s="7" t="s">
        <v>578</v>
      </c>
      <c r="B222" s="8" t="s">
        <v>550</v>
      </c>
      <c r="C222" s="9" t="s">
        <v>97</v>
      </c>
      <c r="D222" s="26">
        <v>629000</v>
      </c>
      <c r="E222" s="121">
        <v>8.58</v>
      </c>
      <c r="F222" s="6">
        <f>D222*E222/1000</f>
        <v>5396.82</v>
      </c>
    </row>
    <row r="223" spans="1:6" s="15" customFormat="1" ht="12.75" customHeight="1">
      <c r="A223" s="7" t="s">
        <v>579</v>
      </c>
      <c r="B223" s="8" t="s">
        <v>551</v>
      </c>
      <c r="C223" s="9" t="s">
        <v>97</v>
      </c>
      <c r="D223" s="26">
        <v>96000</v>
      </c>
      <c r="E223" s="121">
        <v>11.38</v>
      </c>
      <c r="F223" s="6">
        <f>D223*E223/1000</f>
        <v>1092.48</v>
      </c>
    </row>
    <row r="224" spans="1:15" s="98" customFormat="1" ht="12.75" customHeight="1">
      <c r="A224" s="7" t="s">
        <v>580</v>
      </c>
      <c r="B224" s="8" t="s">
        <v>908</v>
      </c>
      <c r="C224" s="9" t="s">
        <v>11</v>
      </c>
      <c r="D224" s="26"/>
      <c r="E224" s="27"/>
      <c r="F224" s="6">
        <f>SUM(F225:F226)</f>
        <v>5162.64</v>
      </c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6" s="15" customFormat="1" ht="12.75" customHeight="1">
      <c r="A225" s="7" t="s">
        <v>581</v>
      </c>
      <c r="B225" s="8" t="s">
        <v>550</v>
      </c>
      <c r="C225" s="9" t="s">
        <v>97</v>
      </c>
      <c r="D225" s="26">
        <v>546000</v>
      </c>
      <c r="E225" s="121">
        <v>8.58</v>
      </c>
      <c r="F225" s="6">
        <f>D225*E225/1000</f>
        <v>4684.68</v>
      </c>
    </row>
    <row r="226" spans="1:6" s="15" customFormat="1" ht="12.75" customHeight="1">
      <c r="A226" s="7" t="s">
        <v>582</v>
      </c>
      <c r="B226" s="8" t="s">
        <v>551</v>
      </c>
      <c r="C226" s="9" t="s">
        <v>97</v>
      </c>
      <c r="D226" s="26">
        <v>42000</v>
      </c>
      <c r="E226" s="121">
        <v>11.38</v>
      </c>
      <c r="F226" s="6">
        <f>D226*E226/1000</f>
        <v>477.96000000000004</v>
      </c>
    </row>
    <row r="227" spans="1:6" s="15" customFormat="1" ht="12.75" customHeight="1">
      <c r="A227" s="7" t="s">
        <v>583</v>
      </c>
      <c r="B227" s="8" t="s">
        <v>922</v>
      </c>
      <c r="C227" s="9" t="s">
        <v>11</v>
      </c>
      <c r="D227" s="26">
        <v>1</v>
      </c>
      <c r="E227" s="123">
        <v>204023.8</v>
      </c>
      <c r="F227" s="6">
        <f>D227*E227/1000</f>
        <v>204.0238</v>
      </c>
    </row>
    <row r="228" spans="1:6" s="15" customFormat="1" ht="12.75" customHeight="1">
      <c r="A228" s="7" t="s">
        <v>293</v>
      </c>
      <c r="B228" s="8" t="s">
        <v>318</v>
      </c>
      <c r="C228" s="9" t="s">
        <v>11</v>
      </c>
      <c r="D228" s="27"/>
      <c r="E228" s="27"/>
      <c r="F228" s="6">
        <f>SUM(F229,F233,F237,F241)</f>
        <v>18189.512</v>
      </c>
    </row>
    <row r="229" spans="1:6" s="15" customFormat="1" ht="12.75" customHeight="1">
      <c r="A229" s="7" t="s">
        <v>294</v>
      </c>
      <c r="B229" s="8" t="s">
        <v>959</v>
      </c>
      <c r="C229" s="9"/>
      <c r="D229" s="26"/>
      <c r="E229" s="27"/>
      <c r="F229" s="6">
        <f>SUM(F230:F232)</f>
        <v>3512.7679999999996</v>
      </c>
    </row>
    <row r="230" spans="1:6" s="15" customFormat="1" ht="12.75" customHeight="1">
      <c r="A230" s="7" t="s">
        <v>362</v>
      </c>
      <c r="B230" s="8" t="s">
        <v>295</v>
      </c>
      <c r="C230" s="9" t="s">
        <v>97</v>
      </c>
      <c r="D230" s="26">
        <v>183400</v>
      </c>
      <c r="E230" s="122">
        <v>10.28</v>
      </c>
      <c r="F230" s="6">
        <f>(D230*E230)/1000</f>
        <v>1885.3519999999999</v>
      </c>
    </row>
    <row r="231" spans="1:6" s="15" customFormat="1" ht="12.75" customHeight="1">
      <c r="A231" s="7" t="s">
        <v>363</v>
      </c>
      <c r="B231" s="8" t="s">
        <v>365</v>
      </c>
      <c r="C231" s="9" t="s">
        <v>97</v>
      </c>
      <c r="D231" s="26">
        <v>167800</v>
      </c>
      <c r="E231" s="122">
        <v>7.13</v>
      </c>
      <c r="F231" s="6">
        <f>(D231*E231)/1000</f>
        <v>1196.414</v>
      </c>
    </row>
    <row r="232" spans="1:6" s="15" customFormat="1" ht="12.75" customHeight="1">
      <c r="A232" s="7" t="s">
        <v>364</v>
      </c>
      <c r="B232" s="8" t="s">
        <v>645</v>
      </c>
      <c r="C232" s="9" t="s">
        <v>97</v>
      </c>
      <c r="D232" s="26">
        <v>27400</v>
      </c>
      <c r="E232" s="122">
        <v>15.73</v>
      </c>
      <c r="F232" s="6">
        <f>(D232*E232)/1000</f>
        <v>431.002</v>
      </c>
    </row>
    <row r="233" spans="1:6" s="15" customFormat="1" ht="12.75" customHeight="1">
      <c r="A233" s="7" t="s">
        <v>404</v>
      </c>
      <c r="B233" s="8" t="s">
        <v>493</v>
      </c>
      <c r="C233" s="9"/>
      <c r="D233" s="26"/>
      <c r="E233" s="27"/>
      <c r="F233" s="6">
        <f>SUM(F234:F236)</f>
        <v>8192.252999999999</v>
      </c>
    </row>
    <row r="234" spans="1:6" s="15" customFormat="1" ht="12.75" customHeight="1">
      <c r="A234" s="7" t="s">
        <v>405</v>
      </c>
      <c r="B234" s="8" t="s">
        <v>295</v>
      </c>
      <c r="C234" s="9" t="s">
        <v>97</v>
      </c>
      <c r="D234" s="26">
        <v>639200</v>
      </c>
      <c r="E234" s="122">
        <v>10.28</v>
      </c>
      <c r="F234" s="6">
        <f>(D234*E234)/1000</f>
        <v>6570.976</v>
      </c>
    </row>
    <row r="235" spans="1:6" s="15" customFormat="1" ht="12.75" customHeight="1">
      <c r="A235" s="7" t="s">
        <v>406</v>
      </c>
      <c r="B235" s="8" t="s">
        <v>365</v>
      </c>
      <c r="C235" s="9" t="s">
        <v>97</v>
      </c>
      <c r="D235" s="26">
        <v>138700</v>
      </c>
      <c r="E235" s="122">
        <v>7.13</v>
      </c>
      <c r="F235" s="6">
        <f>(D235*E235)/1000</f>
        <v>988.931</v>
      </c>
    </row>
    <row r="236" spans="1:6" s="15" customFormat="1" ht="12.75" customHeight="1">
      <c r="A236" s="7" t="s">
        <v>407</v>
      </c>
      <c r="B236" s="8" t="s">
        <v>298</v>
      </c>
      <c r="C236" s="9" t="s">
        <v>97</v>
      </c>
      <c r="D236" s="26">
        <v>40200</v>
      </c>
      <c r="E236" s="122">
        <v>15.73</v>
      </c>
      <c r="F236" s="6">
        <f>(D236*E236)/1000</f>
        <v>632.346</v>
      </c>
    </row>
    <row r="237" spans="1:6" s="15" customFormat="1" ht="12.75" customHeight="1">
      <c r="A237" s="7" t="s">
        <v>496</v>
      </c>
      <c r="B237" s="8" t="s">
        <v>494</v>
      </c>
      <c r="C237" s="9"/>
      <c r="D237" s="26"/>
      <c r="E237" s="27"/>
      <c r="F237" s="6">
        <f>SUM(F238:F240)</f>
        <v>2134.895</v>
      </c>
    </row>
    <row r="238" spans="1:6" s="15" customFormat="1" ht="12.75" customHeight="1">
      <c r="A238" s="7" t="s">
        <v>497</v>
      </c>
      <c r="B238" s="8" t="s">
        <v>295</v>
      </c>
      <c r="C238" s="9" t="s">
        <v>97</v>
      </c>
      <c r="D238" s="26">
        <v>120100</v>
      </c>
      <c r="E238" s="122">
        <v>10.28</v>
      </c>
      <c r="F238" s="6">
        <f>(D238*E238)/1000</f>
        <v>1234.628</v>
      </c>
    </row>
    <row r="239" spans="1:6" s="15" customFormat="1" ht="12.75" customHeight="1">
      <c r="A239" s="7" t="s">
        <v>498</v>
      </c>
      <c r="B239" s="8" t="s">
        <v>365</v>
      </c>
      <c r="C239" s="9" t="s">
        <v>97</v>
      </c>
      <c r="D239" s="26">
        <v>81700</v>
      </c>
      <c r="E239" s="122">
        <v>7.13</v>
      </c>
      <c r="F239" s="6">
        <f>(D239*E239)/1000</f>
        <v>582.521</v>
      </c>
    </row>
    <row r="240" spans="1:6" s="15" customFormat="1" ht="12.75" customHeight="1">
      <c r="A240" s="7" t="s">
        <v>499</v>
      </c>
      <c r="B240" s="8" t="s">
        <v>298</v>
      </c>
      <c r="C240" s="9" t="s">
        <v>97</v>
      </c>
      <c r="D240" s="26">
        <v>20200</v>
      </c>
      <c r="E240" s="122">
        <v>15.73</v>
      </c>
      <c r="F240" s="6">
        <f>(D240*E240)/1000</f>
        <v>317.746</v>
      </c>
    </row>
    <row r="241" spans="1:6" s="15" customFormat="1" ht="12.75" customHeight="1">
      <c r="A241" s="7" t="s">
        <v>500</v>
      </c>
      <c r="B241" s="8" t="s">
        <v>495</v>
      </c>
      <c r="C241" s="9"/>
      <c r="D241" s="26"/>
      <c r="E241" s="27"/>
      <c r="F241" s="6">
        <f>SUM(F242:F245)</f>
        <v>4349.596</v>
      </c>
    </row>
    <row r="242" spans="1:6" s="15" customFormat="1" ht="12.75" customHeight="1">
      <c r="A242" s="7" t="s">
        <v>501</v>
      </c>
      <c r="B242" s="8" t="s">
        <v>295</v>
      </c>
      <c r="C242" s="9" t="s">
        <v>97</v>
      </c>
      <c r="D242" s="26">
        <v>300000</v>
      </c>
      <c r="E242" s="122">
        <v>10.28</v>
      </c>
      <c r="F242" s="6">
        <f>(D242*E242)/1000</f>
        <v>3084</v>
      </c>
    </row>
    <row r="243" spans="1:6" s="15" customFormat="1" ht="12.75" customHeight="1">
      <c r="A243" s="7" t="s">
        <v>502</v>
      </c>
      <c r="B243" s="8" t="s">
        <v>365</v>
      </c>
      <c r="C243" s="9" t="s">
        <v>97</v>
      </c>
      <c r="D243" s="26">
        <v>123400</v>
      </c>
      <c r="E243" s="122">
        <v>7.13</v>
      </c>
      <c r="F243" s="6">
        <f>(D243*E243)/1000</f>
        <v>879.842</v>
      </c>
    </row>
    <row r="244" spans="1:6" s="15" customFormat="1" ht="12.75" customHeight="1">
      <c r="A244" s="7" t="s">
        <v>503</v>
      </c>
      <c r="B244" s="8" t="s">
        <v>298</v>
      </c>
      <c r="C244" s="9" t="s">
        <v>97</v>
      </c>
      <c r="D244" s="26">
        <v>20200</v>
      </c>
      <c r="E244" s="122">
        <v>15.73</v>
      </c>
      <c r="F244" s="6">
        <f>(D244*E244)/1000</f>
        <v>317.746</v>
      </c>
    </row>
    <row r="245" spans="1:6" s="15" customFormat="1" ht="12.75" customHeight="1">
      <c r="A245" s="7" t="s">
        <v>584</v>
      </c>
      <c r="B245" s="8" t="s">
        <v>993</v>
      </c>
      <c r="C245" s="9" t="s">
        <v>11</v>
      </c>
      <c r="D245" s="26"/>
      <c r="E245" s="123">
        <v>68008</v>
      </c>
      <c r="F245" s="6">
        <f>E245/1000</f>
        <v>68.008</v>
      </c>
    </row>
    <row r="246" spans="1:6" s="15" customFormat="1" ht="12.75" customHeight="1">
      <c r="A246" s="7" t="s">
        <v>393</v>
      </c>
      <c r="B246" s="8" t="s">
        <v>599</v>
      </c>
      <c r="C246" s="9" t="s">
        <v>11</v>
      </c>
      <c r="D246" s="26"/>
      <c r="E246" s="27"/>
      <c r="F246" s="6">
        <f>SUM(F247,F255)</f>
        <v>20361.43001</v>
      </c>
    </row>
    <row r="247" spans="1:6" s="15" customFormat="1" ht="12.75" customHeight="1">
      <c r="A247" s="7" t="s">
        <v>366</v>
      </c>
      <c r="B247" s="8" t="s">
        <v>909</v>
      </c>
      <c r="C247" s="9"/>
      <c r="D247" s="26"/>
      <c r="E247" s="27"/>
      <c r="F247" s="6">
        <f>SUM(F248:F250,F251,F254)</f>
        <v>7344.14417</v>
      </c>
    </row>
    <row r="248" spans="1:6" s="15" customFormat="1" ht="12.75" customHeight="1">
      <c r="A248" s="7" t="s">
        <v>367</v>
      </c>
      <c r="B248" s="8" t="s">
        <v>994</v>
      </c>
      <c r="C248" s="9" t="s">
        <v>97</v>
      </c>
      <c r="D248" s="144">
        <v>346500</v>
      </c>
      <c r="E248" s="121">
        <v>10.28</v>
      </c>
      <c r="F248" s="6">
        <f>(D248*E248)/1000</f>
        <v>3562.02</v>
      </c>
    </row>
    <row r="249" spans="1:6" s="15" customFormat="1" ht="12.75" customHeight="1">
      <c r="A249" s="7" t="s">
        <v>368</v>
      </c>
      <c r="B249" s="8" t="s">
        <v>995</v>
      </c>
      <c r="C249" s="9" t="s">
        <v>97</v>
      </c>
      <c r="D249" s="144">
        <v>9900</v>
      </c>
      <c r="E249" s="121">
        <v>7.13</v>
      </c>
      <c r="F249" s="6">
        <f>(D249*E249)/1000</f>
        <v>70.587</v>
      </c>
    </row>
    <row r="250" spans="1:6" s="15" customFormat="1" ht="12.75" customHeight="1">
      <c r="A250" s="7" t="s">
        <v>369</v>
      </c>
      <c r="B250" s="8" t="s">
        <v>996</v>
      </c>
      <c r="C250" s="9" t="s">
        <v>97</v>
      </c>
      <c r="D250" s="144">
        <v>19800</v>
      </c>
      <c r="E250" s="121">
        <v>15</v>
      </c>
      <c r="F250" s="6">
        <f>(D250*E250)/1000</f>
        <v>297</v>
      </c>
    </row>
    <row r="251" spans="1:6" s="15" customFormat="1" ht="12.75" customHeight="1">
      <c r="A251" s="7" t="s">
        <v>370</v>
      </c>
      <c r="B251" s="8" t="s">
        <v>299</v>
      </c>
      <c r="C251" s="9" t="s">
        <v>11</v>
      </c>
      <c r="D251" s="26"/>
      <c r="E251" s="27"/>
      <c r="F251" s="6">
        <f>SUM(F252:F253)</f>
        <v>3380.5332000000003</v>
      </c>
    </row>
    <row r="252" spans="1:6" s="15" customFormat="1" ht="12.75" customHeight="1">
      <c r="A252" s="7" t="s">
        <v>394</v>
      </c>
      <c r="B252" s="8" t="s">
        <v>585</v>
      </c>
      <c r="C252" s="9" t="s">
        <v>97</v>
      </c>
      <c r="D252" s="124">
        <f>SUM(D248:D250)*0.855</f>
        <v>321651</v>
      </c>
      <c r="E252" s="121">
        <v>8.58</v>
      </c>
      <c r="F252" s="6">
        <f>D252*E252/1000</f>
        <v>2759.76558</v>
      </c>
    </row>
    <row r="253" spans="1:6" s="15" customFormat="1" ht="12.75" customHeight="1">
      <c r="A253" s="7" t="s">
        <v>395</v>
      </c>
      <c r="B253" s="8" t="s">
        <v>662</v>
      </c>
      <c r="C253" s="9" t="s">
        <v>97</v>
      </c>
      <c r="D253" s="124">
        <f>SUM(D248:D250)*0.145</f>
        <v>54548.99999999999</v>
      </c>
      <c r="E253" s="121">
        <v>11.38</v>
      </c>
      <c r="F253" s="6">
        <f>D253*E253/1000</f>
        <v>620.76762</v>
      </c>
    </row>
    <row r="254" spans="1:6" s="15" customFormat="1" ht="12.75" customHeight="1">
      <c r="A254" s="7" t="s">
        <v>371</v>
      </c>
      <c r="B254" s="8" t="s">
        <v>968</v>
      </c>
      <c r="C254" s="9" t="s">
        <v>11</v>
      </c>
      <c r="D254" s="26">
        <v>1</v>
      </c>
      <c r="E254" s="123">
        <v>34003.97</v>
      </c>
      <c r="F254" s="6">
        <f>D254*E254/1000</f>
        <v>34.00397</v>
      </c>
    </row>
    <row r="255" spans="1:6" s="15" customFormat="1" ht="12.75" customHeight="1">
      <c r="A255" s="7" t="s">
        <v>396</v>
      </c>
      <c r="B255" s="8" t="s">
        <v>910</v>
      </c>
      <c r="C255" s="9"/>
      <c r="D255" s="26"/>
      <c r="E255" s="27"/>
      <c r="F255" s="6">
        <f>SUM(F256:F258,F259,F262)</f>
        <v>13017.28584</v>
      </c>
    </row>
    <row r="256" spans="1:6" s="15" customFormat="1" ht="12.75" customHeight="1">
      <c r="A256" s="7" t="s">
        <v>397</v>
      </c>
      <c r="B256" s="8" t="s">
        <v>994</v>
      </c>
      <c r="C256" s="9" t="s">
        <v>97</v>
      </c>
      <c r="D256" s="144">
        <v>594000</v>
      </c>
      <c r="E256" s="121">
        <v>10.28</v>
      </c>
      <c r="F256" s="6">
        <f>(D256*E256)/1000</f>
        <v>6106.32</v>
      </c>
    </row>
    <row r="257" spans="1:6" s="15" customFormat="1" ht="12.75" customHeight="1">
      <c r="A257" s="7" t="s">
        <v>398</v>
      </c>
      <c r="B257" s="8" t="s">
        <v>997</v>
      </c>
      <c r="C257" s="9" t="s">
        <v>97</v>
      </c>
      <c r="D257" s="144">
        <v>13200</v>
      </c>
      <c r="E257" s="121">
        <v>7.13</v>
      </c>
      <c r="F257" s="6">
        <f>(D257*E257)/1000</f>
        <v>94.116</v>
      </c>
    </row>
    <row r="258" spans="1:6" s="15" customFormat="1" ht="12.75" customHeight="1">
      <c r="A258" s="7" t="s">
        <v>399</v>
      </c>
      <c r="B258" s="8" t="s">
        <v>996</v>
      </c>
      <c r="C258" s="9" t="s">
        <v>97</v>
      </c>
      <c r="D258" s="144">
        <v>26400</v>
      </c>
      <c r="E258" s="121">
        <v>15</v>
      </c>
      <c r="F258" s="6">
        <f>(D258*E258)/1000</f>
        <v>396</v>
      </c>
    </row>
    <row r="259" spans="1:6" s="15" customFormat="1" ht="12.75" customHeight="1">
      <c r="A259" s="7" t="s">
        <v>400</v>
      </c>
      <c r="B259" s="8" t="s">
        <v>911</v>
      </c>
      <c r="C259" s="9" t="s">
        <v>11</v>
      </c>
      <c r="D259" s="26"/>
      <c r="E259" s="27"/>
      <c r="F259" s="6">
        <f>SUM(F260:F261)</f>
        <v>6367.68</v>
      </c>
    </row>
    <row r="260" spans="1:6" s="15" customFormat="1" ht="12.75" customHeight="1">
      <c r="A260" s="7" t="s">
        <v>401</v>
      </c>
      <c r="B260" s="8" t="s">
        <v>300</v>
      </c>
      <c r="C260" s="9" t="s">
        <v>97</v>
      </c>
      <c r="D260" s="124">
        <f>SUM(D256:D258)*0.475</f>
        <v>300960</v>
      </c>
      <c r="E260" s="121">
        <v>8.58</v>
      </c>
      <c r="F260" s="6">
        <f>D260*E260/1000</f>
        <v>2582.2367999999997</v>
      </c>
    </row>
    <row r="261" spans="1:6" s="15" customFormat="1" ht="12.75" customHeight="1">
      <c r="A261" s="7" t="s">
        <v>402</v>
      </c>
      <c r="B261" s="8" t="s">
        <v>663</v>
      </c>
      <c r="C261" s="9" t="s">
        <v>97</v>
      </c>
      <c r="D261" s="124">
        <f>SUM(D256:D258)*0.525</f>
        <v>332640</v>
      </c>
      <c r="E261" s="121">
        <v>11.38</v>
      </c>
      <c r="F261" s="6">
        <f>D261*E261/1000</f>
        <v>3785.4432</v>
      </c>
    </row>
    <row r="262" spans="1:6" s="15" customFormat="1" ht="12.75" customHeight="1">
      <c r="A262" s="7" t="s">
        <v>403</v>
      </c>
      <c r="B262" s="8" t="s">
        <v>967</v>
      </c>
      <c r="C262" s="9" t="s">
        <v>11</v>
      </c>
      <c r="D262" s="26">
        <v>1</v>
      </c>
      <c r="E262" s="123">
        <v>53169.84</v>
      </c>
      <c r="F262" s="6">
        <f>D262*E262/1000</f>
        <v>53.16983999999999</v>
      </c>
    </row>
    <row r="263" spans="1:6" s="15" customFormat="1" ht="12.75" customHeight="1">
      <c r="A263" s="59" t="s">
        <v>116</v>
      </c>
      <c r="B263" s="60" t="s">
        <v>325</v>
      </c>
      <c r="C263" s="5" t="s">
        <v>11</v>
      </c>
      <c r="D263" s="27"/>
      <c r="E263" s="27"/>
      <c r="F263" s="6">
        <f>SUM(F264,F284)</f>
        <v>97877.17150724221</v>
      </c>
    </row>
    <row r="264" spans="1:6" s="15" customFormat="1" ht="12.75" customHeight="1">
      <c r="A264" s="7" t="s">
        <v>117</v>
      </c>
      <c r="B264" s="8" t="s">
        <v>491</v>
      </c>
      <c r="C264" s="5" t="s">
        <v>11</v>
      </c>
      <c r="D264" s="26"/>
      <c r="E264" s="27"/>
      <c r="F264" s="6">
        <f>SUM(F265,F270,F277,F282:F283)</f>
        <v>35282.511952656</v>
      </c>
    </row>
    <row r="265" spans="1:6" s="15" customFormat="1" ht="12.75" customHeight="1">
      <c r="A265" s="7" t="s">
        <v>118</v>
      </c>
      <c r="B265" s="8" t="s">
        <v>291</v>
      </c>
      <c r="C265" s="5" t="s">
        <v>11</v>
      </c>
      <c r="D265" s="26"/>
      <c r="E265" s="27"/>
      <c r="F265" s="6">
        <f>SUM(F266:F269)</f>
        <v>4104.1619064</v>
      </c>
    </row>
    <row r="266" spans="1:6" s="15" customFormat="1" ht="12.75" customHeight="1">
      <c r="A266" s="7" t="s">
        <v>119</v>
      </c>
      <c r="B266" s="8" t="s">
        <v>96</v>
      </c>
      <c r="C266" s="5" t="s">
        <v>97</v>
      </c>
      <c r="D266" s="26"/>
      <c r="E266" s="27"/>
      <c r="F266" s="6">
        <f>(D266*E266)/1000</f>
        <v>0</v>
      </c>
    </row>
    <row r="267" spans="1:6" s="15" customFormat="1" ht="12.75" customHeight="1">
      <c r="A267" s="7" t="s">
        <v>120</v>
      </c>
      <c r="B267" s="28" t="s">
        <v>998</v>
      </c>
      <c r="C267" s="5" t="s">
        <v>97</v>
      </c>
      <c r="D267" s="144">
        <v>407393.5</v>
      </c>
      <c r="E267" s="126">
        <v>5.49</v>
      </c>
      <c r="F267" s="6">
        <f>(D267*E267)/1000</f>
        <v>2236.590315</v>
      </c>
    </row>
    <row r="268" spans="1:6" s="15" customFormat="1" ht="12.75" customHeight="1">
      <c r="A268" s="7" t="s">
        <v>445</v>
      </c>
      <c r="B268" s="8" t="s">
        <v>999</v>
      </c>
      <c r="C268" s="5" t="s">
        <v>97</v>
      </c>
      <c r="D268" s="144">
        <v>85394.22</v>
      </c>
      <c r="E268" s="127">
        <v>21.87</v>
      </c>
      <c r="F268" s="6">
        <f>(D268*E268)/1000</f>
        <v>1867.5715914</v>
      </c>
    </row>
    <row r="269" spans="1:6" s="15" customFormat="1" ht="12.75" customHeight="1">
      <c r="A269" s="7" t="s">
        <v>446</v>
      </c>
      <c r="B269" s="28" t="s">
        <v>240</v>
      </c>
      <c r="C269" s="5" t="s">
        <v>97</v>
      </c>
      <c r="D269" s="26"/>
      <c r="E269" s="68"/>
      <c r="F269" s="6">
        <f>(D269*E269)/1000</f>
        <v>0</v>
      </c>
    </row>
    <row r="270" spans="1:6" s="15" customFormat="1" ht="12.75" customHeight="1">
      <c r="A270" s="7" t="s">
        <v>121</v>
      </c>
      <c r="B270" s="8" t="s">
        <v>100</v>
      </c>
      <c r="C270" s="5" t="s">
        <v>123</v>
      </c>
      <c r="D270" s="26"/>
      <c r="E270" s="55"/>
      <c r="F270" s="6">
        <f>SUM(F271,F272,F273,F276)</f>
        <v>11959.55075</v>
      </c>
    </row>
    <row r="271" spans="1:6" s="15" customFormat="1" ht="12.75" customHeight="1">
      <c r="A271" s="7" t="s">
        <v>590</v>
      </c>
      <c r="B271" s="8" t="s">
        <v>504</v>
      </c>
      <c r="C271" s="9" t="s">
        <v>123</v>
      </c>
      <c r="D271" s="26">
        <v>49725</v>
      </c>
      <c r="E271" s="125">
        <v>46.71</v>
      </c>
      <c r="F271" s="6">
        <f>E271*D271/1000</f>
        <v>2322.65475</v>
      </c>
    </row>
    <row r="272" spans="1:6" s="15" customFormat="1" ht="12.75" customHeight="1">
      <c r="A272" s="7" t="s">
        <v>591</v>
      </c>
      <c r="B272" s="8" t="s">
        <v>594</v>
      </c>
      <c r="C272" s="9" t="s">
        <v>97</v>
      </c>
      <c r="D272" s="26">
        <v>135200</v>
      </c>
      <c r="E272" s="125">
        <v>18.81</v>
      </c>
      <c r="F272" s="6">
        <f>E272*D272/1000</f>
        <v>2543.112</v>
      </c>
    </row>
    <row r="273" spans="1:6" s="15" customFormat="1" ht="12.75" customHeight="1">
      <c r="A273" s="7" t="s">
        <v>592</v>
      </c>
      <c r="B273" s="8" t="s">
        <v>505</v>
      </c>
      <c r="C273" s="9" t="s">
        <v>11</v>
      </c>
      <c r="D273" s="26"/>
      <c r="E273" s="55"/>
      <c r="F273" s="6">
        <f>SUM(F274:F275)</f>
        <v>6046.8645</v>
      </c>
    </row>
    <row r="274" spans="1:6" s="15" customFormat="1" ht="12.75" customHeight="1">
      <c r="A274" s="7" t="s">
        <v>850</v>
      </c>
      <c r="B274" s="8" t="s">
        <v>852</v>
      </c>
      <c r="C274" s="5" t="s">
        <v>97</v>
      </c>
      <c r="D274" s="26">
        <v>15000</v>
      </c>
      <c r="E274" s="125">
        <v>189.26</v>
      </c>
      <c r="F274" s="6">
        <f>E274*D274/1000</f>
        <v>2838.9</v>
      </c>
    </row>
    <row r="275" spans="1:6" s="15" customFormat="1" ht="12.75" customHeight="1">
      <c r="A275" s="7" t="s">
        <v>851</v>
      </c>
      <c r="B275" s="8" t="s">
        <v>930</v>
      </c>
      <c r="C275" s="5" t="s">
        <v>102</v>
      </c>
      <c r="D275" s="125">
        <v>4050</v>
      </c>
      <c r="E275" s="125">
        <v>792.09</v>
      </c>
      <c r="F275" s="6">
        <f>E275*D275/1000</f>
        <v>3207.9645</v>
      </c>
    </row>
    <row r="276" spans="1:6" s="15" customFormat="1" ht="12.75" customHeight="1">
      <c r="A276" s="7" t="s">
        <v>593</v>
      </c>
      <c r="B276" s="8" t="s">
        <v>974</v>
      </c>
      <c r="C276" s="9" t="s">
        <v>46</v>
      </c>
      <c r="D276" s="26">
        <v>4675</v>
      </c>
      <c r="E276" s="125">
        <v>223.94</v>
      </c>
      <c r="F276" s="6">
        <f>E276*D276/1000</f>
        <v>1046.9195</v>
      </c>
    </row>
    <row r="277" spans="1:6" s="15" customFormat="1" ht="12.75" customHeight="1">
      <c r="A277" s="7" t="s">
        <v>122</v>
      </c>
      <c r="B277" s="8" t="s">
        <v>289</v>
      </c>
      <c r="C277" s="5" t="s">
        <v>97</v>
      </c>
      <c r="D277" s="26"/>
      <c r="E277" s="55"/>
      <c r="F277" s="6">
        <f>SUM(F278:F281)</f>
        <v>18434.811279999998</v>
      </c>
    </row>
    <row r="278" spans="1:6" s="15" customFormat="1" ht="12.75" customHeight="1">
      <c r="A278" s="7" t="s">
        <v>934</v>
      </c>
      <c r="B278" s="8" t="s">
        <v>931</v>
      </c>
      <c r="C278" s="5" t="s">
        <v>97</v>
      </c>
      <c r="D278" s="26">
        <v>639507</v>
      </c>
      <c r="E278" s="126">
        <v>14.54</v>
      </c>
      <c r="F278" s="6">
        <f>(D278*E278)/1000</f>
        <v>9298.431779999999</v>
      </c>
    </row>
    <row r="279" spans="1:6" s="15" customFormat="1" ht="12.75" customHeight="1">
      <c r="A279" s="7" t="s">
        <v>935</v>
      </c>
      <c r="B279" s="8" t="s">
        <v>1000</v>
      </c>
      <c r="C279" s="5" t="s">
        <v>97</v>
      </c>
      <c r="D279" s="144">
        <v>269450</v>
      </c>
      <c r="E279" s="125">
        <v>13.31</v>
      </c>
      <c r="F279" s="6">
        <f>(D279*E279)/1000</f>
        <v>3586.3795</v>
      </c>
    </row>
    <row r="280" spans="1:6" s="15" customFormat="1" ht="12.75" customHeight="1">
      <c r="A280" s="7" t="s">
        <v>936</v>
      </c>
      <c r="B280" s="8" t="s">
        <v>932</v>
      </c>
      <c r="C280" s="5" t="s">
        <v>97</v>
      </c>
      <c r="D280" s="26">
        <v>120000</v>
      </c>
      <c r="E280" s="125">
        <v>37.19</v>
      </c>
      <c r="F280" s="6">
        <f>(D280*E280)/1000</f>
        <v>4462.8</v>
      </c>
    </row>
    <row r="281" spans="1:6" s="15" customFormat="1" ht="12.75" customHeight="1">
      <c r="A281" s="7" t="s">
        <v>937</v>
      </c>
      <c r="B281" s="8" t="s">
        <v>933</v>
      </c>
      <c r="C281" s="5" t="s">
        <v>97</v>
      </c>
      <c r="D281" s="26">
        <v>60000</v>
      </c>
      <c r="E281" s="125">
        <v>18.12</v>
      </c>
      <c r="F281" s="6">
        <f>(D281*E281)/1000</f>
        <v>1087.2</v>
      </c>
    </row>
    <row r="282" spans="1:6" s="15" customFormat="1" ht="12.75" customHeight="1">
      <c r="A282" s="7" t="s">
        <v>241</v>
      </c>
      <c r="B282" s="8" t="s">
        <v>923</v>
      </c>
      <c r="C282" s="5" t="s">
        <v>11</v>
      </c>
      <c r="D282" s="76">
        <v>0.5</v>
      </c>
      <c r="E282" s="142">
        <f>F277</f>
        <v>18434.811279999998</v>
      </c>
      <c r="F282" s="6">
        <f>D282*E282/100</f>
        <v>92.17405639999998</v>
      </c>
    </row>
    <row r="283" spans="1:6" s="15" customFormat="1" ht="12.75" customHeight="1">
      <c r="A283" s="7" t="s">
        <v>242</v>
      </c>
      <c r="B283" s="8" t="s">
        <v>924</v>
      </c>
      <c r="C283" s="5" t="s">
        <v>11</v>
      </c>
      <c r="D283" s="26">
        <v>2</v>
      </c>
      <c r="E283" s="27">
        <f>SUM(F265,F270,F277,F282)</f>
        <v>34590.6979928</v>
      </c>
      <c r="F283" s="6">
        <f>D283*E283/100</f>
        <v>691.813959856</v>
      </c>
    </row>
    <row r="284" spans="1:6" s="15" customFormat="1" ht="12.75" customHeight="1">
      <c r="A284" s="7" t="s">
        <v>243</v>
      </c>
      <c r="B284" s="8" t="s">
        <v>417</v>
      </c>
      <c r="C284" s="9" t="s">
        <v>11</v>
      </c>
      <c r="D284" s="26"/>
      <c r="E284" s="27"/>
      <c r="F284" s="6">
        <f>F285+F305+F324</f>
        <v>62594.65955458621</v>
      </c>
    </row>
    <row r="285" spans="1:6" s="15" customFormat="1" ht="12.75" customHeight="1">
      <c r="A285" s="7" t="s">
        <v>448</v>
      </c>
      <c r="B285" s="8" t="s">
        <v>600</v>
      </c>
      <c r="C285" s="9" t="s">
        <v>11</v>
      </c>
      <c r="D285" s="26"/>
      <c r="E285" s="27"/>
      <c r="F285" s="6">
        <f>SUM(F286+F289+F296+F300+F303+F304)</f>
        <v>32038.405415810998</v>
      </c>
    </row>
    <row r="286" spans="1:6" s="15" customFormat="1" ht="12.75" customHeight="1">
      <c r="A286" s="7" t="s">
        <v>447</v>
      </c>
      <c r="B286" s="8" t="s">
        <v>490</v>
      </c>
      <c r="C286" s="9" t="s">
        <v>11</v>
      </c>
      <c r="D286" s="26"/>
      <c r="E286" s="27"/>
      <c r="F286" s="6">
        <f>SUM(F287:F288)</f>
        <v>0</v>
      </c>
    </row>
    <row r="287" spans="1:6" s="15" customFormat="1" ht="12.75" customHeight="1">
      <c r="A287" s="7" t="s">
        <v>450</v>
      </c>
      <c r="B287" s="8" t="s">
        <v>96</v>
      </c>
      <c r="C287" s="9" t="s">
        <v>97</v>
      </c>
      <c r="D287" s="91"/>
      <c r="E287" s="55"/>
      <c r="F287" s="6">
        <f>(D287*E287)/1000</f>
        <v>0</v>
      </c>
    </row>
    <row r="288" spans="1:6" s="15" customFormat="1" ht="12.75" customHeight="1">
      <c r="A288" s="7" t="s">
        <v>451</v>
      </c>
      <c r="B288" s="8" t="s">
        <v>326</v>
      </c>
      <c r="C288" s="9" t="s">
        <v>97</v>
      </c>
      <c r="D288" s="91"/>
      <c r="E288" s="55"/>
      <c r="F288" s="6">
        <f>(D288*E288)/1000</f>
        <v>0</v>
      </c>
    </row>
    <row r="289" spans="1:6" s="15" customFormat="1" ht="12.75" customHeight="1">
      <c r="A289" s="7" t="s">
        <v>449</v>
      </c>
      <c r="B289" s="8" t="s">
        <v>100</v>
      </c>
      <c r="C289" s="9" t="s">
        <v>11</v>
      </c>
      <c r="D289" s="91"/>
      <c r="E289" s="55"/>
      <c r="F289" s="6">
        <f>SUM(F290:F293)</f>
        <v>3532.1650799999998</v>
      </c>
    </row>
    <row r="290" spans="1:6" s="15" customFormat="1" ht="12.75" customHeight="1">
      <c r="A290" s="7" t="s">
        <v>587</v>
      </c>
      <c r="B290" s="8" t="s">
        <v>504</v>
      </c>
      <c r="C290" s="9" t="s">
        <v>239</v>
      </c>
      <c r="D290" s="91">
        <v>16455</v>
      </c>
      <c r="E290" s="125">
        <v>46.71</v>
      </c>
      <c r="F290" s="6">
        <f>(D290*E290)/1000</f>
        <v>768.61305</v>
      </c>
    </row>
    <row r="291" spans="1:6" s="15" customFormat="1" ht="12.75" customHeight="1">
      <c r="A291" s="7" t="s">
        <v>588</v>
      </c>
      <c r="B291" s="8" t="s">
        <v>974</v>
      </c>
      <c r="C291" s="9" t="s">
        <v>46</v>
      </c>
      <c r="D291" s="26">
        <v>3595</v>
      </c>
      <c r="E291" s="125">
        <v>223.94</v>
      </c>
      <c r="F291" s="6">
        <f>E291*D291/1000</f>
        <v>805.0643</v>
      </c>
    </row>
    <row r="292" spans="1:6" s="15" customFormat="1" ht="12.75" customHeight="1">
      <c r="A292" s="7" t="s">
        <v>589</v>
      </c>
      <c r="B292" s="8" t="s">
        <v>586</v>
      </c>
      <c r="C292" s="9" t="s">
        <v>46</v>
      </c>
      <c r="D292" s="26">
        <v>2730</v>
      </c>
      <c r="E292" s="125">
        <v>111.97</v>
      </c>
      <c r="F292" s="6">
        <f>E292*D292/1000</f>
        <v>305.6781</v>
      </c>
    </row>
    <row r="293" spans="1:6" s="15" customFormat="1" ht="12.75" customHeight="1">
      <c r="A293" s="7" t="s">
        <v>619</v>
      </c>
      <c r="B293" s="8" t="s">
        <v>601</v>
      </c>
      <c r="C293" s="9" t="s">
        <v>11</v>
      </c>
      <c r="D293" s="26"/>
      <c r="E293" s="55"/>
      <c r="F293" s="6">
        <f>SUM(F294:F295)</f>
        <v>1652.80963</v>
      </c>
    </row>
    <row r="294" spans="1:6" s="15" customFormat="1" ht="12.75" customHeight="1">
      <c r="A294" s="7" t="s">
        <v>853</v>
      </c>
      <c r="B294" s="8" t="s">
        <v>855</v>
      </c>
      <c r="C294" s="9" t="s">
        <v>97</v>
      </c>
      <c r="D294" s="26">
        <v>4100</v>
      </c>
      <c r="E294" s="125">
        <v>189.26</v>
      </c>
      <c r="F294" s="6">
        <f>(D294*E294)/1000</f>
        <v>775.966</v>
      </c>
    </row>
    <row r="295" spans="1:6" s="15" customFormat="1" ht="12.75" customHeight="1">
      <c r="A295" s="7" t="s">
        <v>854</v>
      </c>
      <c r="B295" s="8" t="s">
        <v>925</v>
      </c>
      <c r="C295" s="9" t="s">
        <v>102</v>
      </c>
      <c r="D295" s="124">
        <v>1107</v>
      </c>
      <c r="E295" s="125">
        <v>792.09</v>
      </c>
      <c r="F295" s="6">
        <f>(D295*E295)/1000</f>
        <v>876.84363</v>
      </c>
    </row>
    <row r="296" spans="1:6" s="15" customFormat="1" ht="12.75" customHeight="1">
      <c r="A296" s="7" t="s">
        <v>452</v>
      </c>
      <c r="B296" s="8" t="s">
        <v>284</v>
      </c>
      <c r="C296" s="95" t="s">
        <v>11</v>
      </c>
      <c r="D296" s="26"/>
      <c r="E296" s="27"/>
      <c r="F296" s="6">
        <f>SUM(F297:F299)</f>
        <v>16201.71041</v>
      </c>
    </row>
    <row r="297" spans="1:6" s="15" customFormat="1" ht="12.75" customHeight="1">
      <c r="A297" s="7" t="s">
        <v>621</v>
      </c>
      <c r="B297" s="8" t="s">
        <v>938</v>
      </c>
      <c r="C297" s="95" t="s">
        <v>102</v>
      </c>
      <c r="D297" s="26">
        <f>0.27*D298</f>
        <v>4509</v>
      </c>
      <c r="E297" s="125">
        <v>792.09</v>
      </c>
      <c r="F297" s="6">
        <f>(D297*E297)/1000</f>
        <v>3571.53381</v>
      </c>
    </row>
    <row r="298" spans="1:6" s="15" customFormat="1" ht="12.75" customHeight="1">
      <c r="A298" s="7" t="s">
        <v>622</v>
      </c>
      <c r="B298" s="8" t="s">
        <v>624</v>
      </c>
      <c r="C298" s="9" t="s">
        <v>97</v>
      </c>
      <c r="D298" s="26">
        <f>83500*0.2</f>
        <v>16700</v>
      </c>
      <c r="E298" s="125">
        <v>283.06</v>
      </c>
      <c r="F298" s="6">
        <f>(D298*E298)/1000</f>
        <v>4727.102</v>
      </c>
    </row>
    <row r="299" spans="1:6" s="15" customFormat="1" ht="12.75" customHeight="1">
      <c r="A299" s="7" t="s">
        <v>623</v>
      </c>
      <c r="B299" s="8" t="s">
        <v>625</v>
      </c>
      <c r="C299" s="9" t="s">
        <v>102</v>
      </c>
      <c r="D299" s="26">
        <f>0.06*D298</f>
        <v>1002</v>
      </c>
      <c r="E299" s="125">
        <v>7887.3</v>
      </c>
      <c r="F299" s="6">
        <f>(D299*E299)/1000</f>
        <v>7903.074600000001</v>
      </c>
    </row>
    <row r="300" spans="1:6" s="15" customFormat="1" ht="12.75" customHeight="1">
      <c r="A300" s="7" t="s">
        <v>620</v>
      </c>
      <c r="B300" s="8" t="s">
        <v>418</v>
      </c>
      <c r="C300" s="9" t="s">
        <v>11</v>
      </c>
      <c r="D300" s="91"/>
      <c r="E300" s="27"/>
      <c r="F300" s="6">
        <f>SUM(F301:F302)</f>
        <v>11537.6292</v>
      </c>
    </row>
    <row r="301" spans="1:6" s="15" customFormat="1" ht="12.75" customHeight="1">
      <c r="A301" s="7" t="s">
        <v>856</v>
      </c>
      <c r="B301" s="8" t="s">
        <v>858</v>
      </c>
      <c r="C301" s="9" t="s">
        <v>97</v>
      </c>
      <c r="D301" s="91">
        <f>83500*0.8</f>
        <v>66800</v>
      </c>
      <c r="E301" s="121">
        <v>93.51</v>
      </c>
      <c r="F301" s="6">
        <f>(D301*E301)/1000</f>
        <v>6246.468</v>
      </c>
    </row>
    <row r="302" spans="1:6" s="15" customFormat="1" ht="12.75" customHeight="1">
      <c r="A302" s="7" t="s">
        <v>857</v>
      </c>
      <c r="B302" s="8" t="s">
        <v>938</v>
      </c>
      <c r="C302" s="9" t="s">
        <v>102</v>
      </c>
      <c r="D302" s="91">
        <f>D301*0.1</f>
        <v>6680</v>
      </c>
      <c r="E302" s="125">
        <v>792.09</v>
      </c>
      <c r="F302" s="6">
        <f>(D302*E302)/1000</f>
        <v>5291.1612000000005</v>
      </c>
    </row>
    <row r="303" spans="1:6" s="15" customFormat="1" ht="12.75" customHeight="1">
      <c r="A303" s="7" t="s">
        <v>453</v>
      </c>
      <c r="B303" s="8" t="s">
        <v>926</v>
      </c>
      <c r="C303" s="9" t="s">
        <v>11</v>
      </c>
      <c r="D303" s="76">
        <v>0.5</v>
      </c>
      <c r="E303" s="141">
        <f>SUM(F296,F300)</f>
        <v>27739.33961</v>
      </c>
      <c r="F303" s="6">
        <f>E303*D303/100</f>
        <v>138.69669805</v>
      </c>
    </row>
    <row r="304" spans="1:6" s="15" customFormat="1" ht="12.75" customHeight="1">
      <c r="A304" s="7" t="s">
        <v>454</v>
      </c>
      <c r="B304" s="8" t="s">
        <v>927</v>
      </c>
      <c r="C304" s="9" t="s">
        <v>87</v>
      </c>
      <c r="D304" s="26">
        <v>2</v>
      </c>
      <c r="E304" s="27">
        <f>SUM(F289,F296,F300,F303)</f>
        <v>31410.201388049998</v>
      </c>
      <c r="F304" s="6">
        <f>(SUM(F286,F289,F296,F300,F303)*D304/100)</f>
        <v>628.2040277609999</v>
      </c>
    </row>
    <row r="305" spans="1:6" s="15" customFormat="1" ht="12.75" customHeight="1">
      <c r="A305" s="7" t="s">
        <v>444</v>
      </c>
      <c r="B305" s="8" t="s">
        <v>455</v>
      </c>
      <c r="C305" s="9" t="s">
        <v>11</v>
      </c>
      <c r="D305" s="26"/>
      <c r="E305" s="27"/>
      <c r="F305" s="6">
        <f>SUM(F306+F309+F315+F319+F322+F323)</f>
        <v>4634.602937359201</v>
      </c>
    </row>
    <row r="306" spans="1:6" s="15" customFormat="1" ht="12.75" customHeight="1">
      <c r="A306" s="7" t="s">
        <v>456</v>
      </c>
      <c r="B306" s="8" t="s">
        <v>490</v>
      </c>
      <c r="C306" s="9" t="s">
        <v>11</v>
      </c>
      <c r="D306" s="26" t="s">
        <v>288</v>
      </c>
      <c r="E306" s="27"/>
      <c r="F306" s="6">
        <f>SUM(F307:F308)</f>
        <v>0</v>
      </c>
    </row>
    <row r="307" spans="1:6" s="15" customFormat="1" ht="12.75" customHeight="1">
      <c r="A307" s="7" t="s">
        <v>457</v>
      </c>
      <c r="B307" s="8" t="s">
        <v>96</v>
      </c>
      <c r="C307" s="9" t="s">
        <v>97</v>
      </c>
      <c r="D307" s="91"/>
      <c r="E307" s="55"/>
      <c r="F307" s="6">
        <f>(D307*E307)/1000</f>
        <v>0</v>
      </c>
    </row>
    <row r="308" spans="1:6" s="15" customFormat="1" ht="12.75" customHeight="1">
      <c r="A308" s="7" t="s">
        <v>458</v>
      </c>
      <c r="B308" s="8" t="s">
        <v>326</v>
      </c>
      <c r="C308" s="9" t="s">
        <v>97</v>
      </c>
      <c r="D308" s="91"/>
      <c r="E308" s="55"/>
      <c r="F308" s="6">
        <f>(D308*E308)/1000</f>
        <v>0</v>
      </c>
    </row>
    <row r="309" spans="1:6" s="15" customFormat="1" ht="12.75" customHeight="1">
      <c r="A309" s="7" t="s">
        <v>459</v>
      </c>
      <c r="B309" s="8" t="s">
        <v>100</v>
      </c>
      <c r="C309" s="9" t="s">
        <v>11</v>
      </c>
      <c r="D309" s="91"/>
      <c r="E309" s="55"/>
      <c r="F309" s="6">
        <f>SUM(F310:F314)</f>
        <v>860.206197</v>
      </c>
    </row>
    <row r="310" spans="1:6" s="15" customFormat="1" ht="12.75" customHeight="1">
      <c r="A310" s="7" t="s">
        <v>595</v>
      </c>
      <c r="B310" s="8" t="s">
        <v>504</v>
      </c>
      <c r="C310" s="9" t="s">
        <v>239</v>
      </c>
      <c r="D310" s="91">
        <v>3160</v>
      </c>
      <c r="E310" s="125">
        <v>46.71</v>
      </c>
      <c r="F310" s="6">
        <f>(D310*E310)/1000</f>
        <v>147.6036</v>
      </c>
    </row>
    <row r="311" spans="1:6" s="15" customFormat="1" ht="12.75" customHeight="1">
      <c r="A311" s="7" t="s">
        <v>596</v>
      </c>
      <c r="B311" s="8" t="s">
        <v>506</v>
      </c>
      <c r="C311" s="9" t="s">
        <v>46</v>
      </c>
      <c r="D311" s="26">
        <v>1220</v>
      </c>
      <c r="E311" s="125">
        <v>223.94</v>
      </c>
      <c r="F311" s="6">
        <f>E311*D311/1000</f>
        <v>273.2068</v>
      </c>
    </row>
    <row r="312" spans="1:6" s="15" customFormat="1" ht="12.75" customHeight="1">
      <c r="A312" s="7" t="s">
        <v>597</v>
      </c>
      <c r="B312" s="8" t="s">
        <v>586</v>
      </c>
      <c r="C312" s="9" t="s">
        <v>46</v>
      </c>
      <c r="D312" s="26">
        <v>1080</v>
      </c>
      <c r="E312" s="125">
        <v>111.97</v>
      </c>
      <c r="F312" s="6">
        <f>E312*D312/1000</f>
        <v>120.92760000000001</v>
      </c>
    </row>
    <row r="313" spans="1:6" s="15" customFormat="1" ht="12.75" customHeight="1">
      <c r="A313" s="7" t="s">
        <v>989</v>
      </c>
      <c r="B313" s="8" t="s">
        <v>991</v>
      </c>
      <c r="C313" s="9" t="s">
        <v>46</v>
      </c>
      <c r="D313" s="26">
        <v>213.3</v>
      </c>
      <c r="E313" s="125">
        <v>792.09</v>
      </c>
      <c r="F313" s="6">
        <f>E313*D313/1000</f>
        <v>168.95279700000003</v>
      </c>
    </row>
    <row r="314" spans="1:6" s="15" customFormat="1" ht="12.75" customHeight="1">
      <c r="A314" s="7" t="s">
        <v>990</v>
      </c>
      <c r="B314" s="8" t="s">
        <v>516</v>
      </c>
      <c r="C314" s="9" t="s">
        <v>46</v>
      </c>
      <c r="D314" s="26">
        <v>790</v>
      </c>
      <c r="E314" s="125">
        <v>189.26</v>
      </c>
      <c r="F314" s="6">
        <f>E314*D314/1000</f>
        <v>149.5154</v>
      </c>
    </row>
    <row r="315" spans="1:6" s="15" customFormat="1" ht="12.75" customHeight="1">
      <c r="A315" s="7" t="s">
        <v>460</v>
      </c>
      <c r="B315" s="8" t="s">
        <v>284</v>
      </c>
      <c r="C315" s="95" t="s">
        <v>11</v>
      </c>
      <c r="D315" s="26"/>
      <c r="E315" s="27"/>
      <c r="F315" s="6">
        <f>SUM(F316:F318)</f>
        <v>2117.633952</v>
      </c>
    </row>
    <row r="316" spans="1:6" s="15" customFormat="1" ht="12.75" customHeight="1">
      <c r="A316" s="7" t="s">
        <v>629</v>
      </c>
      <c r="B316" s="8" t="s">
        <v>938</v>
      </c>
      <c r="C316" s="95" t="s">
        <v>102</v>
      </c>
      <c r="D316" s="124">
        <v>604.8</v>
      </c>
      <c r="E316" s="125">
        <v>792.09</v>
      </c>
      <c r="F316" s="6">
        <f>(D316*E316)/1000</f>
        <v>479.056032</v>
      </c>
    </row>
    <row r="317" spans="1:6" s="15" customFormat="1" ht="12.75" customHeight="1">
      <c r="A317" s="7" t="s">
        <v>630</v>
      </c>
      <c r="B317" s="8" t="s">
        <v>624</v>
      </c>
      <c r="C317" s="9" t="s">
        <v>97</v>
      </c>
      <c r="D317" s="26">
        <v>2240</v>
      </c>
      <c r="E317" s="125">
        <v>258.27</v>
      </c>
      <c r="F317" s="6">
        <f>(D317*E317)/1000</f>
        <v>578.5247999999999</v>
      </c>
    </row>
    <row r="318" spans="1:6" s="15" customFormat="1" ht="12.75" customHeight="1">
      <c r="A318" s="7" t="s">
        <v>631</v>
      </c>
      <c r="B318" s="8" t="s">
        <v>625</v>
      </c>
      <c r="C318" s="9" t="s">
        <v>102</v>
      </c>
      <c r="D318" s="26">
        <f>0.06*D317</f>
        <v>134.4</v>
      </c>
      <c r="E318" s="125">
        <v>7887.3</v>
      </c>
      <c r="F318" s="6">
        <f>(D318*E318)/1000</f>
        <v>1060.05312</v>
      </c>
    </row>
    <row r="319" spans="1:6" s="15" customFormat="1" ht="12.75" customHeight="1">
      <c r="A319" s="7" t="s">
        <v>939</v>
      </c>
      <c r="B319" s="8" t="s">
        <v>418</v>
      </c>
      <c r="C319" s="9" t="s">
        <v>11</v>
      </c>
      <c r="D319" s="91"/>
      <c r="E319" s="27"/>
      <c r="F319" s="6">
        <f>SUM(F320:F321)</f>
        <v>1547.5622400000002</v>
      </c>
    </row>
    <row r="320" spans="1:6" s="15" customFormat="1" ht="12.75" customHeight="1">
      <c r="A320" s="7" t="s">
        <v>940</v>
      </c>
      <c r="B320" s="8" t="s">
        <v>858</v>
      </c>
      <c r="C320" s="9" t="s">
        <v>97</v>
      </c>
      <c r="D320" s="91">
        <f>11200*0.8</f>
        <v>8960</v>
      </c>
      <c r="E320" s="121">
        <v>93.51</v>
      </c>
      <c r="F320" s="6">
        <f>(D320*E320)/1000</f>
        <v>837.8496000000001</v>
      </c>
    </row>
    <row r="321" spans="1:6" s="15" customFormat="1" ht="12.75" customHeight="1">
      <c r="A321" s="7" t="s">
        <v>941</v>
      </c>
      <c r="B321" s="8" t="s">
        <v>938</v>
      </c>
      <c r="C321" s="9" t="s">
        <v>102</v>
      </c>
      <c r="D321" s="91">
        <f>D320*0.1</f>
        <v>896</v>
      </c>
      <c r="E321" s="125">
        <v>792.09</v>
      </c>
      <c r="F321" s="6">
        <f>(D321*E321)/1000</f>
        <v>709.71264</v>
      </c>
    </row>
    <row r="322" spans="1:6" s="15" customFormat="1" ht="12.75" customHeight="1">
      <c r="A322" s="7" t="s">
        <v>461</v>
      </c>
      <c r="B322" s="8" t="s">
        <v>969</v>
      </c>
      <c r="C322" s="9" t="s">
        <v>11</v>
      </c>
      <c r="D322" s="76">
        <v>0.5</v>
      </c>
      <c r="E322" s="141">
        <f>SUM(F315,F319)</f>
        <v>3665.1961920000003</v>
      </c>
      <c r="F322" s="6">
        <f>E322*D322/100</f>
        <v>18.325980960000003</v>
      </c>
    </row>
    <row r="323" spans="1:6" s="15" customFormat="1" ht="12.75" customHeight="1">
      <c r="A323" s="7" t="s">
        <v>462</v>
      </c>
      <c r="B323" s="8" t="s">
        <v>970</v>
      </c>
      <c r="C323" s="9" t="s">
        <v>87</v>
      </c>
      <c r="D323" s="26">
        <v>2</v>
      </c>
      <c r="E323" s="27">
        <f>SUM(F309,F315,F319,F322)</f>
        <v>4543.728369960001</v>
      </c>
      <c r="F323" s="6">
        <f>(E323*D323/100)</f>
        <v>90.87456739920002</v>
      </c>
    </row>
    <row r="324" spans="1:6" s="15" customFormat="1" ht="12.75" customHeight="1">
      <c r="A324" s="7" t="s">
        <v>244</v>
      </c>
      <c r="B324" s="8" t="s">
        <v>602</v>
      </c>
      <c r="C324" s="9" t="s">
        <v>11</v>
      </c>
      <c r="D324" s="26"/>
      <c r="E324" s="27"/>
      <c r="F324" s="6">
        <f>SUM(F325+F329+F332+F336+F339+F340)</f>
        <v>25921.651201416007</v>
      </c>
    </row>
    <row r="325" spans="1:6" s="15" customFormat="1" ht="12.75" customHeight="1">
      <c r="A325" s="7" t="s">
        <v>463</v>
      </c>
      <c r="B325" s="8" t="s">
        <v>490</v>
      </c>
      <c r="C325" s="9" t="s">
        <v>11</v>
      </c>
      <c r="D325" s="26" t="s">
        <v>288</v>
      </c>
      <c r="E325" s="27"/>
      <c r="F325" s="6">
        <f>SUM(F326:F327)</f>
        <v>0</v>
      </c>
    </row>
    <row r="326" spans="1:6" s="15" customFormat="1" ht="12.75" customHeight="1">
      <c r="A326" s="7" t="s">
        <v>464</v>
      </c>
      <c r="B326" s="8" t="s">
        <v>96</v>
      </c>
      <c r="C326" s="9" t="s">
        <v>97</v>
      </c>
      <c r="D326" s="91"/>
      <c r="E326" s="55"/>
      <c r="F326" s="6">
        <f>(D326*E326)/1000</f>
        <v>0</v>
      </c>
    </row>
    <row r="327" spans="1:6" s="15" customFormat="1" ht="12.75" customHeight="1">
      <c r="A327" s="7" t="s">
        <v>465</v>
      </c>
      <c r="B327" s="8" t="s">
        <v>326</v>
      </c>
      <c r="C327" s="9" t="s">
        <v>97</v>
      </c>
      <c r="D327" s="91"/>
      <c r="E327" s="55"/>
      <c r="F327" s="6">
        <f>(D327*E327)/1000</f>
        <v>0</v>
      </c>
    </row>
    <row r="328" spans="1:6" s="15" customFormat="1" ht="12.75" customHeight="1">
      <c r="A328" s="7" t="s">
        <v>466</v>
      </c>
      <c r="B328" s="8" t="s">
        <v>100</v>
      </c>
      <c r="C328" s="9" t="s">
        <v>992</v>
      </c>
      <c r="D328" s="91"/>
      <c r="E328" s="145"/>
      <c r="F328" s="6">
        <f>SUM(F329:F331)</f>
        <v>1321.052932</v>
      </c>
    </row>
    <row r="329" spans="1:6" s="15" customFormat="1" ht="12.75" customHeight="1">
      <c r="A329" s="7" t="s">
        <v>466</v>
      </c>
      <c r="B329" s="8" t="s">
        <v>504</v>
      </c>
      <c r="C329" s="9" t="s">
        <v>239</v>
      </c>
      <c r="D329" s="91">
        <v>8950</v>
      </c>
      <c r="E329" s="125">
        <v>46.71</v>
      </c>
      <c r="F329" s="6">
        <f>(D329*E329)/1000</f>
        <v>418.0545</v>
      </c>
    </row>
    <row r="330" spans="1:6" s="15" customFormat="1" ht="12.75" customHeight="1">
      <c r="A330" s="7" t="s">
        <v>989</v>
      </c>
      <c r="B330" s="8" t="s">
        <v>991</v>
      </c>
      <c r="C330" s="9" t="s">
        <v>46</v>
      </c>
      <c r="D330" s="26">
        <v>604.8</v>
      </c>
      <c r="E330" s="125">
        <v>792.09</v>
      </c>
      <c r="F330" s="6">
        <f>E330*D330/1000</f>
        <v>479.056032</v>
      </c>
    </row>
    <row r="331" spans="1:6" s="15" customFormat="1" ht="12.75" customHeight="1">
      <c r="A331" s="7" t="s">
        <v>990</v>
      </c>
      <c r="B331" s="8" t="s">
        <v>516</v>
      </c>
      <c r="C331" s="9" t="s">
        <v>46</v>
      </c>
      <c r="D331" s="26">
        <v>2240</v>
      </c>
      <c r="E331" s="125">
        <v>189.26</v>
      </c>
      <c r="F331" s="6">
        <f>E331*D331/1000</f>
        <v>423.94239999999996</v>
      </c>
    </row>
    <row r="332" spans="1:6" s="15" customFormat="1" ht="12.75" customHeight="1">
      <c r="A332" s="7" t="s">
        <v>467</v>
      </c>
      <c r="B332" s="8" t="s">
        <v>284</v>
      </c>
      <c r="C332" s="95" t="s">
        <v>11</v>
      </c>
      <c r="D332" s="26"/>
      <c r="E332" s="27"/>
      <c r="F332" s="6">
        <f>SUM(F333:F335)</f>
        <v>14369.65896</v>
      </c>
    </row>
    <row r="333" spans="1:6" s="15" customFormat="1" ht="12.75" customHeight="1">
      <c r="A333" s="7" t="s">
        <v>626</v>
      </c>
      <c r="B333" s="8" t="s">
        <v>938</v>
      </c>
      <c r="C333" s="95" t="s">
        <v>102</v>
      </c>
      <c r="D333" s="124">
        <v>4104</v>
      </c>
      <c r="E333" s="125">
        <v>792.09</v>
      </c>
      <c r="F333" s="6">
        <f>(D333*E333)/1000</f>
        <v>3250.7373600000005</v>
      </c>
    </row>
    <row r="334" spans="1:6" s="15" customFormat="1" ht="12.75" customHeight="1">
      <c r="A334" s="7" t="s">
        <v>627</v>
      </c>
      <c r="B334" s="8" t="s">
        <v>624</v>
      </c>
      <c r="C334" s="9" t="s">
        <v>97</v>
      </c>
      <c r="D334" s="26">
        <f>76000*0.2</f>
        <v>15200</v>
      </c>
      <c r="E334" s="125">
        <v>258.27</v>
      </c>
      <c r="F334" s="6">
        <f>(D334*E334)/1000</f>
        <v>3925.7039999999997</v>
      </c>
    </row>
    <row r="335" spans="1:6" s="15" customFormat="1" ht="12.75" customHeight="1">
      <c r="A335" s="7" t="s">
        <v>628</v>
      </c>
      <c r="B335" s="8" t="s">
        <v>625</v>
      </c>
      <c r="C335" s="9" t="s">
        <v>102</v>
      </c>
      <c r="D335" s="26">
        <f>0.06*D334</f>
        <v>912</v>
      </c>
      <c r="E335" s="125">
        <v>7887.3</v>
      </c>
      <c r="F335" s="6">
        <f>(D335*E335)/1000</f>
        <v>7193.217600000001</v>
      </c>
    </row>
    <row r="336" spans="1:9" s="15" customFormat="1" ht="12.75" customHeight="1">
      <c r="A336" s="7" t="s">
        <v>859</v>
      </c>
      <c r="B336" s="8" t="s">
        <v>418</v>
      </c>
      <c r="C336" s="9" t="s">
        <v>11</v>
      </c>
      <c r="D336" s="91"/>
      <c r="E336" s="27"/>
      <c r="F336" s="6">
        <f>SUM(F337:F338)</f>
        <v>10501.315200000001</v>
      </c>
      <c r="I336" s="12"/>
    </row>
    <row r="337" spans="1:9" s="15" customFormat="1" ht="12.75" customHeight="1">
      <c r="A337" s="7" t="s">
        <v>860</v>
      </c>
      <c r="B337" s="8" t="s">
        <v>858</v>
      </c>
      <c r="C337" s="9" t="s">
        <v>97</v>
      </c>
      <c r="D337" s="91">
        <f>76000*0.8</f>
        <v>60800</v>
      </c>
      <c r="E337" s="121">
        <v>93.51</v>
      </c>
      <c r="F337" s="6">
        <f>(D337*E337)/1000</f>
        <v>5685.408</v>
      </c>
      <c r="I337" s="12"/>
    </row>
    <row r="338" spans="1:9" s="15" customFormat="1" ht="12.75" customHeight="1">
      <c r="A338" s="7" t="s">
        <v>861</v>
      </c>
      <c r="B338" s="8" t="s">
        <v>925</v>
      </c>
      <c r="C338" s="9" t="s">
        <v>102</v>
      </c>
      <c r="D338" s="91">
        <f>D337*0.1</f>
        <v>6080</v>
      </c>
      <c r="E338" s="125">
        <v>792.09</v>
      </c>
      <c r="F338" s="6">
        <f>(D338*E338)/1000</f>
        <v>4815.907200000001</v>
      </c>
      <c r="I338" s="12"/>
    </row>
    <row r="339" spans="1:6" s="15" customFormat="1" ht="12.75" customHeight="1">
      <c r="A339" s="7" t="s">
        <v>468</v>
      </c>
      <c r="B339" s="8" t="s">
        <v>926</v>
      </c>
      <c r="C339" s="9" t="s">
        <v>11</v>
      </c>
      <c r="D339" s="76">
        <v>0.5</v>
      </c>
      <c r="E339" s="141">
        <f>SUM(F332,F336)</f>
        <v>24870.97416</v>
      </c>
      <c r="F339" s="6">
        <f>E339*D339/100</f>
        <v>124.35487080000001</v>
      </c>
    </row>
    <row r="340" spans="1:6" s="15" customFormat="1" ht="12.75" customHeight="1">
      <c r="A340" s="7" t="s">
        <v>469</v>
      </c>
      <c r="B340" s="8" t="s">
        <v>927</v>
      </c>
      <c r="C340" s="9" t="s">
        <v>87</v>
      </c>
      <c r="D340" s="26">
        <v>2</v>
      </c>
      <c r="E340" s="27">
        <f>SUM(F329,F332,F336,F339)</f>
        <v>25413.383530800005</v>
      </c>
      <c r="F340" s="6">
        <f>E340*D340/100</f>
        <v>508.2676706160001</v>
      </c>
    </row>
    <row r="341" spans="1:9" s="15" customFormat="1" ht="12.75" customHeight="1">
      <c r="A341" s="59" t="s">
        <v>125</v>
      </c>
      <c r="B341" s="60" t="s">
        <v>316</v>
      </c>
      <c r="C341" s="5" t="s">
        <v>11</v>
      </c>
      <c r="D341" s="26"/>
      <c r="E341" s="27"/>
      <c r="F341" s="6">
        <f>SUM(F342,F388,F403)</f>
        <v>1290674.05182602</v>
      </c>
      <c r="I341" s="92"/>
    </row>
    <row r="342" spans="1:9" s="15" customFormat="1" ht="12.75" customHeight="1">
      <c r="A342" s="7" t="s">
        <v>126</v>
      </c>
      <c r="B342" s="8" t="s">
        <v>317</v>
      </c>
      <c r="C342" s="5" t="s">
        <v>11</v>
      </c>
      <c r="D342" s="26"/>
      <c r="E342" s="27"/>
      <c r="F342" s="6">
        <f>SUM(F343,F347,F354,F358,F386,F387)</f>
        <v>720437.1385415001</v>
      </c>
      <c r="I342" s="92"/>
    </row>
    <row r="343" spans="1:6" s="15" customFormat="1" ht="12.75" customHeight="1">
      <c r="A343" s="7" t="s">
        <v>127</v>
      </c>
      <c r="B343" s="8" t="s">
        <v>94</v>
      </c>
      <c r="C343" s="5" t="s">
        <v>11</v>
      </c>
      <c r="D343" s="26"/>
      <c r="E343" s="27"/>
      <c r="F343" s="6">
        <f>SUM(F344:F346)</f>
        <v>23217.49865</v>
      </c>
    </row>
    <row r="344" spans="1:6" s="15" customFormat="1" ht="12.75" customHeight="1">
      <c r="A344" s="7" t="s">
        <v>128</v>
      </c>
      <c r="B344" s="8" t="s">
        <v>96</v>
      </c>
      <c r="C344" s="9" t="s">
        <v>97</v>
      </c>
      <c r="D344" s="26">
        <v>256730</v>
      </c>
      <c r="E344" s="125">
        <v>9.24</v>
      </c>
      <c r="F344" s="6">
        <f>(D344*E344)/1000</f>
        <v>2372.1852000000003</v>
      </c>
    </row>
    <row r="345" spans="1:6" s="15" customFormat="1" ht="12.75" customHeight="1">
      <c r="A345" s="7" t="s">
        <v>129</v>
      </c>
      <c r="B345" s="8" t="s">
        <v>326</v>
      </c>
      <c r="C345" s="9" t="s">
        <v>97</v>
      </c>
      <c r="D345" s="26">
        <f>883625-D346</f>
        <v>726067</v>
      </c>
      <c r="E345" s="125">
        <v>21.87</v>
      </c>
      <c r="F345" s="6">
        <f>(D345*E345)/1000</f>
        <v>15879.08529</v>
      </c>
    </row>
    <row r="346" spans="1:6" s="15" customFormat="1" ht="12.75" customHeight="1">
      <c r="A346" s="7" t="s">
        <v>604</v>
      </c>
      <c r="B346" s="8" t="s">
        <v>603</v>
      </c>
      <c r="C346" s="9" t="s">
        <v>97</v>
      </c>
      <c r="D346" s="26">
        <v>157558</v>
      </c>
      <c r="E346" s="125">
        <v>31.52</v>
      </c>
      <c r="F346" s="6">
        <f>(D346*E346)/1000</f>
        <v>4966.228160000001</v>
      </c>
    </row>
    <row r="347" spans="1:6" s="15" customFormat="1" ht="12.75" customHeight="1">
      <c r="A347" s="7" t="s">
        <v>130</v>
      </c>
      <c r="B347" s="8" t="s">
        <v>100</v>
      </c>
      <c r="C347" s="9" t="s">
        <v>239</v>
      </c>
      <c r="D347" s="26"/>
      <c r="E347" s="55"/>
      <c r="F347" s="6">
        <f>SUM(F348:F351)</f>
        <v>5514.687233500001</v>
      </c>
    </row>
    <row r="348" spans="1:6" s="15" customFormat="1" ht="12.75" customHeight="1">
      <c r="A348" s="7" t="s">
        <v>605</v>
      </c>
      <c r="B348" s="8" t="s">
        <v>504</v>
      </c>
      <c r="C348" s="9" t="s">
        <v>123</v>
      </c>
      <c r="D348" s="26">
        <v>33385</v>
      </c>
      <c r="E348" s="125">
        <v>46.71</v>
      </c>
      <c r="F348" s="6">
        <f>(D348*E348)/1000</f>
        <v>1559.41335</v>
      </c>
    </row>
    <row r="349" spans="1:6" s="15" customFormat="1" ht="12.75" customHeight="1">
      <c r="A349" s="7" t="s">
        <v>606</v>
      </c>
      <c r="B349" s="8" t="s">
        <v>974</v>
      </c>
      <c r="C349" s="9" t="s">
        <v>46</v>
      </c>
      <c r="D349" s="26">
        <v>1825</v>
      </c>
      <c r="E349" s="125">
        <v>223.94</v>
      </c>
      <c r="F349" s="6">
        <f>(D349*E349)/1000</f>
        <v>408.6905</v>
      </c>
    </row>
    <row r="350" spans="1:6" s="15" customFormat="1" ht="12.75" customHeight="1">
      <c r="A350" s="7" t="s">
        <v>607</v>
      </c>
      <c r="B350" s="8" t="s">
        <v>586</v>
      </c>
      <c r="C350" s="9" t="s">
        <v>46</v>
      </c>
      <c r="D350" s="26">
        <v>1630</v>
      </c>
      <c r="E350" s="125">
        <v>111.97</v>
      </c>
      <c r="F350" s="6">
        <f>(D350*E350)/1000</f>
        <v>182.5111</v>
      </c>
    </row>
    <row r="351" spans="1:6" s="15" customFormat="1" ht="12.75" customHeight="1">
      <c r="A351" s="7" t="s">
        <v>608</v>
      </c>
      <c r="B351" s="8" t="s">
        <v>516</v>
      </c>
      <c r="C351" s="9" t="s">
        <v>11</v>
      </c>
      <c r="D351" s="26"/>
      <c r="E351" s="55"/>
      <c r="F351" s="6">
        <f>SUM(F352:F353)</f>
        <v>3364.0722835</v>
      </c>
    </row>
    <row r="352" spans="1:6" s="15" customFormat="1" ht="12.75" customHeight="1">
      <c r="A352" s="7" t="s">
        <v>862</v>
      </c>
      <c r="B352" s="8" t="s">
        <v>864</v>
      </c>
      <c r="C352" s="9" t="s">
        <v>97</v>
      </c>
      <c r="D352" s="26">
        <v>8345</v>
      </c>
      <c r="E352" s="125">
        <v>189.26</v>
      </c>
      <c r="F352" s="6">
        <f>(D352*E352)/1000</f>
        <v>1579.3746999999998</v>
      </c>
    </row>
    <row r="353" spans="1:6" s="15" customFormat="1" ht="12.75" customHeight="1">
      <c r="A353" s="7" t="s">
        <v>863</v>
      </c>
      <c r="B353" s="8" t="s">
        <v>925</v>
      </c>
      <c r="C353" s="9" t="s">
        <v>102</v>
      </c>
      <c r="D353" s="124">
        <v>2253.15</v>
      </c>
      <c r="E353" s="125">
        <v>792.09</v>
      </c>
      <c r="F353" s="6">
        <f>(D353*E353)/1000</f>
        <v>1784.6975835000003</v>
      </c>
    </row>
    <row r="354" spans="1:6" s="15" customFormat="1" ht="12.75" customHeight="1">
      <c r="A354" s="7" t="s">
        <v>246</v>
      </c>
      <c r="B354" s="8" t="s">
        <v>284</v>
      </c>
      <c r="C354" s="5" t="s">
        <v>11</v>
      </c>
      <c r="D354" s="26"/>
      <c r="E354" s="27"/>
      <c r="F354" s="6">
        <f>SUM(F355:F357)</f>
        <v>580598.522658</v>
      </c>
    </row>
    <row r="355" spans="1:6" s="15" customFormat="1" ht="12.75" customHeight="1">
      <c r="A355" s="7" t="s">
        <v>247</v>
      </c>
      <c r="B355" s="8" t="s">
        <v>624</v>
      </c>
      <c r="C355" s="9" t="s">
        <v>97</v>
      </c>
      <c r="D355" s="26">
        <v>614460</v>
      </c>
      <c r="E355" s="125">
        <v>257.79</v>
      </c>
      <c r="F355" s="6">
        <f>(D355*E355)/1000</f>
        <v>158401.6434</v>
      </c>
    </row>
    <row r="356" spans="1:6" s="15" customFormat="1" ht="12.75" customHeight="1">
      <c r="A356" s="7" t="s">
        <v>248</v>
      </c>
      <c r="B356" s="8" t="s">
        <v>938</v>
      </c>
      <c r="C356" s="9" t="s">
        <v>102</v>
      </c>
      <c r="D356" s="26">
        <f>0.27*D355</f>
        <v>165904.2</v>
      </c>
      <c r="E356" s="125">
        <v>792.09</v>
      </c>
      <c r="F356" s="6">
        <f>(D356*E356)/1000</f>
        <v>131411.05777800002</v>
      </c>
    </row>
    <row r="357" spans="1:6" s="15" customFormat="1" ht="12.75" customHeight="1">
      <c r="A357" s="7" t="s">
        <v>249</v>
      </c>
      <c r="B357" s="8" t="s">
        <v>625</v>
      </c>
      <c r="C357" s="9" t="s">
        <v>102</v>
      </c>
      <c r="D357" s="26">
        <f>0.06*D355</f>
        <v>36867.6</v>
      </c>
      <c r="E357" s="125">
        <v>7887.3</v>
      </c>
      <c r="F357" s="6">
        <f>(D357*E357)/1000</f>
        <v>290785.82148000004</v>
      </c>
    </row>
    <row r="358" spans="1:6" s="15" customFormat="1" ht="12.75" customHeight="1">
      <c r="A358" s="7" t="s">
        <v>250</v>
      </c>
      <c r="B358" s="4" t="s">
        <v>111</v>
      </c>
      <c r="C358" s="5" t="s">
        <v>11</v>
      </c>
      <c r="D358" s="26"/>
      <c r="E358" s="27"/>
      <c r="F358" s="6">
        <f>SUM(F359,F363,F379,F383:F385)</f>
        <v>111106.43</v>
      </c>
    </row>
    <row r="359" spans="1:6" s="15" customFormat="1" ht="12.75" customHeight="1">
      <c r="A359" s="7" t="s">
        <v>251</v>
      </c>
      <c r="B359" s="8" t="s">
        <v>912</v>
      </c>
      <c r="C359" s="5" t="s">
        <v>113</v>
      </c>
      <c r="D359" s="26"/>
      <c r="E359" s="27"/>
      <c r="F359" s="6">
        <f>SUM(F360:F362)</f>
        <v>79296</v>
      </c>
    </row>
    <row r="360" spans="1:8" s="15" customFormat="1" ht="12.75" customHeight="1">
      <c r="A360" s="7" t="s">
        <v>252</v>
      </c>
      <c r="B360" s="8" t="s">
        <v>112</v>
      </c>
      <c r="C360" s="9" t="s">
        <v>113</v>
      </c>
      <c r="D360" s="26">
        <v>21</v>
      </c>
      <c r="E360" s="27">
        <v>3200000</v>
      </c>
      <c r="F360" s="6">
        <f>D360*E360/1000</f>
        <v>67200</v>
      </c>
      <c r="H360" s="118"/>
    </row>
    <row r="361" spans="1:8" s="15" customFormat="1" ht="12.75" customHeight="1">
      <c r="A361" s="7" t="s">
        <v>253</v>
      </c>
      <c r="B361" s="8" t="s">
        <v>114</v>
      </c>
      <c r="C361" s="9" t="s">
        <v>11</v>
      </c>
      <c r="D361" s="26"/>
      <c r="E361" s="27"/>
      <c r="F361" s="6">
        <f>F360*0.08</f>
        <v>5376</v>
      </c>
      <c r="H361" s="109"/>
    </row>
    <row r="362" spans="1:6" s="15" customFormat="1" ht="12.75" customHeight="1">
      <c r="A362" s="7" t="s">
        <v>254</v>
      </c>
      <c r="B362" s="8" t="s">
        <v>115</v>
      </c>
      <c r="C362" s="9" t="s">
        <v>11</v>
      </c>
      <c r="D362" s="26"/>
      <c r="E362" s="27"/>
      <c r="F362" s="6">
        <f>F360*0.1</f>
        <v>6720</v>
      </c>
    </row>
    <row r="363" spans="1:6" s="15" customFormat="1" ht="12.75" customHeight="1">
      <c r="A363" s="7" t="s">
        <v>255</v>
      </c>
      <c r="B363" s="75" t="s">
        <v>865</v>
      </c>
      <c r="C363" s="5" t="s">
        <v>11</v>
      </c>
      <c r="D363" s="26"/>
      <c r="E363" s="27"/>
      <c r="F363" s="6">
        <f>F364+F369+F374</f>
        <v>21555</v>
      </c>
    </row>
    <row r="364" spans="1:6" s="15" customFormat="1" ht="12.75" customHeight="1">
      <c r="A364" s="7" t="s">
        <v>376</v>
      </c>
      <c r="B364" s="75" t="s">
        <v>377</v>
      </c>
      <c r="C364" s="5" t="s">
        <v>11</v>
      </c>
      <c r="D364" s="26"/>
      <c r="E364" s="96"/>
      <c r="F364" s="6">
        <f>SUM(F365:F368)</f>
        <v>14570</v>
      </c>
    </row>
    <row r="365" spans="1:8" s="15" customFormat="1" ht="12.75" customHeight="1">
      <c r="A365" s="7" t="s">
        <v>381</v>
      </c>
      <c r="B365" s="8" t="s">
        <v>378</v>
      </c>
      <c r="C365" s="9" t="s">
        <v>113</v>
      </c>
      <c r="D365" s="108">
        <v>5</v>
      </c>
      <c r="E365" s="73">
        <v>2300000</v>
      </c>
      <c r="F365" s="72">
        <f>D365*E365/1000</f>
        <v>11500</v>
      </c>
      <c r="H365" s="12"/>
    </row>
    <row r="366" spans="1:8" s="15" customFormat="1" ht="12.75" customHeight="1">
      <c r="A366" s="7" t="s">
        <v>382</v>
      </c>
      <c r="B366" s="8" t="s">
        <v>379</v>
      </c>
      <c r="C366" s="9" t="s">
        <v>11</v>
      </c>
      <c r="D366" s="26"/>
      <c r="E366" s="27"/>
      <c r="F366" s="6">
        <f>F365*0.08</f>
        <v>920</v>
      </c>
      <c r="H366" s="12"/>
    </row>
    <row r="367" spans="1:6" s="15" customFormat="1" ht="12.75" customHeight="1">
      <c r="A367" s="7" t="s">
        <v>383</v>
      </c>
      <c r="B367" s="8" t="s">
        <v>380</v>
      </c>
      <c r="C367" s="9" t="s">
        <v>11</v>
      </c>
      <c r="D367" s="26"/>
      <c r="E367" s="27"/>
      <c r="F367" s="6">
        <f>F365*0.1</f>
        <v>1150</v>
      </c>
    </row>
    <row r="368" spans="1:6" s="15" customFormat="1" ht="12.75" customHeight="1">
      <c r="A368" s="7" t="s">
        <v>419</v>
      </c>
      <c r="B368" s="8" t="s">
        <v>420</v>
      </c>
      <c r="C368" s="9" t="s">
        <v>113</v>
      </c>
      <c r="D368" s="26">
        <v>10</v>
      </c>
      <c r="E368" s="27">
        <v>100000</v>
      </c>
      <c r="F368" s="6">
        <f>D368*E368/1000</f>
        <v>1000</v>
      </c>
    </row>
    <row r="369" spans="1:6" s="15" customFormat="1" ht="12.75" customHeight="1">
      <c r="A369" s="7" t="s">
        <v>384</v>
      </c>
      <c r="B369" s="75" t="s">
        <v>866</v>
      </c>
      <c r="C369" s="9" t="s">
        <v>11</v>
      </c>
      <c r="D369" s="26"/>
      <c r="E369" s="27"/>
      <c r="F369" s="6">
        <f>SUM(F370:F373)</f>
        <v>4885</v>
      </c>
    </row>
    <row r="370" spans="1:6" s="15" customFormat="1" ht="12.75" customHeight="1">
      <c r="A370" s="7" t="s">
        <v>385</v>
      </c>
      <c r="B370" s="8" t="s">
        <v>378</v>
      </c>
      <c r="C370" s="9" t="s">
        <v>113</v>
      </c>
      <c r="D370" s="108">
        <v>5</v>
      </c>
      <c r="E370" s="99">
        <v>650000</v>
      </c>
      <c r="F370" s="97">
        <f>D370*E370/1000</f>
        <v>3250</v>
      </c>
    </row>
    <row r="371" spans="1:6" s="15" customFormat="1" ht="12.75" customHeight="1">
      <c r="A371" s="7" t="s">
        <v>386</v>
      </c>
      <c r="B371" s="8" t="s">
        <v>379</v>
      </c>
      <c r="C371" s="9" t="s">
        <v>11</v>
      </c>
      <c r="D371" s="26"/>
      <c r="E371" s="27"/>
      <c r="F371" s="6">
        <f>F370*0.08</f>
        <v>260</v>
      </c>
    </row>
    <row r="372" spans="1:6" s="15" customFormat="1" ht="12.75" customHeight="1">
      <c r="A372" s="7" t="s">
        <v>387</v>
      </c>
      <c r="B372" s="8" t="s">
        <v>380</v>
      </c>
      <c r="C372" s="9" t="s">
        <v>11</v>
      </c>
      <c r="D372" s="26"/>
      <c r="E372" s="27"/>
      <c r="F372" s="6">
        <f>F370*0.1</f>
        <v>325</v>
      </c>
    </row>
    <row r="373" spans="1:6" s="15" customFormat="1" ht="12.75" customHeight="1">
      <c r="A373" s="7" t="s">
        <v>421</v>
      </c>
      <c r="B373" s="8" t="s">
        <v>420</v>
      </c>
      <c r="C373" s="9" t="s">
        <v>113</v>
      </c>
      <c r="D373" s="26">
        <v>21</v>
      </c>
      <c r="E373" s="27">
        <v>50000</v>
      </c>
      <c r="F373" s="6">
        <f>E373*D373/1000</f>
        <v>1050</v>
      </c>
    </row>
    <row r="374" spans="1:6" s="15" customFormat="1" ht="12.75" customHeight="1">
      <c r="A374" s="7" t="s">
        <v>867</v>
      </c>
      <c r="B374" s="75" t="s">
        <v>868</v>
      </c>
      <c r="C374" s="9" t="s">
        <v>11</v>
      </c>
      <c r="D374" s="26"/>
      <c r="E374" s="27"/>
      <c r="F374" s="6">
        <f>SUM(F375:F378)</f>
        <v>2100</v>
      </c>
    </row>
    <row r="375" spans="1:6" s="15" customFormat="1" ht="12.75" customHeight="1">
      <c r="A375" s="7" t="s">
        <v>869</v>
      </c>
      <c r="B375" s="8" t="s">
        <v>378</v>
      </c>
      <c r="C375" s="9" t="s">
        <v>113</v>
      </c>
      <c r="D375" s="108"/>
      <c r="E375" s="73"/>
      <c r="F375" s="72">
        <f>D375*E375/1000</f>
        <v>0</v>
      </c>
    </row>
    <row r="376" spans="1:6" s="15" customFormat="1" ht="12.75" customHeight="1">
      <c r="A376" s="7" t="s">
        <v>870</v>
      </c>
      <c r="B376" s="8" t="s">
        <v>379</v>
      </c>
      <c r="C376" s="9" t="s">
        <v>11</v>
      </c>
      <c r="D376" s="26"/>
      <c r="E376" s="27"/>
      <c r="F376" s="6">
        <f>0.071*F375</f>
        <v>0</v>
      </c>
    </row>
    <row r="377" spans="1:6" s="15" customFormat="1" ht="12.75" customHeight="1">
      <c r="A377" s="7" t="s">
        <v>871</v>
      </c>
      <c r="B377" s="8" t="s">
        <v>380</v>
      </c>
      <c r="C377" s="9" t="s">
        <v>11</v>
      </c>
      <c r="D377" s="26"/>
      <c r="E377" s="27"/>
      <c r="F377" s="6">
        <v>0</v>
      </c>
    </row>
    <row r="378" spans="1:6" s="15" customFormat="1" ht="12.75" customHeight="1">
      <c r="A378" s="7" t="s">
        <v>872</v>
      </c>
      <c r="B378" s="8" t="s">
        <v>420</v>
      </c>
      <c r="C378" s="9" t="s">
        <v>113</v>
      </c>
      <c r="D378" s="26">
        <v>21</v>
      </c>
      <c r="E378" s="27">
        <v>100000</v>
      </c>
      <c r="F378" s="6">
        <f>D378*E378/1000</f>
        <v>2100</v>
      </c>
    </row>
    <row r="379" spans="1:6" s="15" customFormat="1" ht="12.75" customHeight="1">
      <c r="A379" s="7" t="s">
        <v>256</v>
      </c>
      <c r="B379" s="8" t="s">
        <v>873</v>
      </c>
      <c r="C379" s="5" t="s">
        <v>113</v>
      </c>
      <c r="D379" s="26"/>
      <c r="E379" s="27"/>
      <c r="F379" s="6">
        <f>SUM(F380:F382)</f>
        <v>1122.4</v>
      </c>
    </row>
    <row r="380" spans="1:6" s="15" customFormat="1" ht="12.75" customHeight="1">
      <c r="A380" s="7" t="s">
        <v>257</v>
      </c>
      <c r="B380" s="8" t="s">
        <v>112</v>
      </c>
      <c r="C380" s="9" t="s">
        <v>113</v>
      </c>
      <c r="D380" s="26">
        <v>1</v>
      </c>
      <c r="E380" s="73">
        <v>920000</v>
      </c>
      <c r="F380" s="6">
        <f>(D380*E380)/1000</f>
        <v>920</v>
      </c>
    </row>
    <row r="381" spans="1:11" s="15" customFormat="1" ht="12.75" customHeight="1">
      <c r="A381" s="7" t="s">
        <v>258</v>
      </c>
      <c r="B381" s="8" t="s">
        <v>114</v>
      </c>
      <c r="C381" s="9" t="s">
        <v>11</v>
      </c>
      <c r="D381" s="26"/>
      <c r="E381" s="27"/>
      <c r="F381" s="6">
        <f>F380*0.1</f>
        <v>92</v>
      </c>
      <c r="K381" s="74"/>
    </row>
    <row r="382" spans="1:6" s="15" customFormat="1" ht="12.75" customHeight="1">
      <c r="A382" s="7" t="s">
        <v>259</v>
      </c>
      <c r="B382" s="8" t="s">
        <v>115</v>
      </c>
      <c r="C382" s="9" t="s">
        <v>11</v>
      </c>
      <c r="D382" s="26"/>
      <c r="E382" s="27"/>
      <c r="F382" s="6">
        <f>F380*0.12</f>
        <v>110.39999999999999</v>
      </c>
    </row>
    <row r="383" spans="1:6" s="15" customFormat="1" ht="12.75" customHeight="1">
      <c r="A383" s="7" t="s">
        <v>874</v>
      </c>
      <c r="B383" s="8" t="s">
        <v>875</v>
      </c>
      <c r="C383" s="9" t="s">
        <v>11</v>
      </c>
      <c r="D383" s="26"/>
      <c r="E383" s="27"/>
      <c r="F383" s="6">
        <v>2484.64</v>
      </c>
    </row>
    <row r="384" spans="1:6" s="15" customFormat="1" ht="12.75" customHeight="1">
      <c r="A384" s="7" t="s">
        <v>876</v>
      </c>
      <c r="B384" s="8" t="s">
        <v>878</v>
      </c>
      <c r="C384" s="9" t="s">
        <v>11</v>
      </c>
      <c r="D384" s="26"/>
      <c r="E384" s="27"/>
      <c r="F384" s="6">
        <v>723.29</v>
      </c>
    </row>
    <row r="385" spans="1:6" s="15" customFormat="1" ht="12.75" customHeight="1">
      <c r="A385" s="7" t="s">
        <v>877</v>
      </c>
      <c r="B385" s="8" t="s">
        <v>879</v>
      </c>
      <c r="C385" s="9" t="s">
        <v>11</v>
      </c>
      <c r="D385" s="26"/>
      <c r="E385" s="27"/>
      <c r="F385" s="6">
        <v>5925.1</v>
      </c>
    </row>
    <row r="386" spans="1:6" s="15" customFormat="1" ht="12.75" customHeight="1">
      <c r="A386" s="7" t="s">
        <v>260</v>
      </c>
      <c r="B386" s="8" t="s">
        <v>245</v>
      </c>
      <c r="C386" s="9" t="s">
        <v>11</v>
      </c>
      <c r="D386" s="26" t="s">
        <v>288</v>
      </c>
      <c r="E386" s="27"/>
      <c r="F386" s="29"/>
    </row>
    <row r="387" spans="1:6" s="15" customFormat="1" ht="12.75" customHeight="1">
      <c r="A387" s="7" t="s">
        <v>261</v>
      </c>
      <c r="B387" s="75" t="s">
        <v>290</v>
      </c>
      <c r="C387" s="9" t="s">
        <v>87</v>
      </c>
      <c r="D387" s="26"/>
      <c r="E387" s="27"/>
      <c r="F387" s="6">
        <f>SUM(F343,F347,F354,F358,F386)*D387/100</f>
        <v>0</v>
      </c>
    </row>
    <row r="388" spans="1:6" s="15" customFormat="1" ht="12.75" customHeight="1">
      <c r="A388" s="7" t="s">
        <v>302</v>
      </c>
      <c r="B388" s="8" t="s">
        <v>303</v>
      </c>
      <c r="C388" s="9" t="s">
        <v>11</v>
      </c>
      <c r="D388" s="26"/>
      <c r="E388" s="27"/>
      <c r="F388" s="29">
        <f>SUM(F389,F395,F402)</f>
        <v>365123.62340221996</v>
      </c>
    </row>
    <row r="389" spans="1:6" s="15" customFormat="1" ht="12.75" customHeight="1">
      <c r="A389" s="7" t="s">
        <v>304</v>
      </c>
      <c r="B389" s="8" t="s">
        <v>94</v>
      </c>
      <c r="C389" s="5" t="s">
        <v>11</v>
      </c>
      <c r="D389" s="26"/>
      <c r="E389" s="27"/>
      <c r="F389" s="6">
        <f>SUM(F390:F394)</f>
        <v>322072.43949</v>
      </c>
    </row>
    <row r="390" spans="1:6" s="15" customFormat="1" ht="12.75" customHeight="1">
      <c r="A390" s="7" t="s">
        <v>305</v>
      </c>
      <c r="B390" s="8" t="s">
        <v>730</v>
      </c>
      <c r="C390" s="9" t="s">
        <v>97</v>
      </c>
      <c r="D390" s="26">
        <v>367760</v>
      </c>
      <c r="E390" s="125">
        <v>9.24</v>
      </c>
      <c r="F390" s="6">
        <f>(D390*E390)/1000</f>
        <v>3398.1023999999998</v>
      </c>
    </row>
    <row r="391" spans="1:6" s="15" customFormat="1" ht="12.75" customHeight="1">
      <c r="A391" s="7" t="s">
        <v>306</v>
      </c>
      <c r="B391" s="8" t="s">
        <v>96</v>
      </c>
      <c r="C391" s="9" t="s">
        <v>97</v>
      </c>
      <c r="D391" s="26">
        <v>6908150</v>
      </c>
      <c r="E391" s="125">
        <v>9.24</v>
      </c>
      <c r="F391" s="6">
        <f>(D391*E391)/1000</f>
        <v>63831.306</v>
      </c>
    </row>
    <row r="392" spans="1:6" s="15" customFormat="1" ht="12.75" customHeight="1">
      <c r="A392" s="7" t="s">
        <v>611</v>
      </c>
      <c r="B392" s="8" t="s">
        <v>731</v>
      </c>
      <c r="C392" s="9" t="s">
        <v>97</v>
      </c>
      <c r="D392" s="26">
        <v>1389880</v>
      </c>
      <c r="E392" s="125">
        <v>21.87</v>
      </c>
      <c r="F392" s="6">
        <f>(D392*E392)/1000</f>
        <v>30396.675600000002</v>
      </c>
    </row>
    <row r="393" spans="1:6" s="15" customFormat="1" ht="12.75" customHeight="1">
      <c r="A393" s="7" t="s">
        <v>728</v>
      </c>
      <c r="B393" s="8" t="s">
        <v>124</v>
      </c>
      <c r="C393" s="9" t="s">
        <v>97</v>
      </c>
      <c r="D393" s="26">
        <f>9368172-D394</f>
        <v>8889707</v>
      </c>
      <c r="E393" s="125">
        <v>21.87</v>
      </c>
      <c r="F393" s="6">
        <f>(D393*E393)/1000</f>
        <v>194417.89209</v>
      </c>
    </row>
    <row r="394" spans="1:6" s="15" customFormat="1" ht="12.75" customHeight="1">
      <c r="A394" s="7" t="s">
        <v>729</v>
      </c>
      <c r="B394" s="8" t="s">
        <v>609</v>
      </c>
      <c r="C394" s="9" t="s">
        <v>97</v>
      </c>
      <c r="D394" s="26">
        <v>478465</v>
      </c>
      <c r="E394" s="125">
        <v>62.76</v>
      </c>
      <c r="F394" s="6">
        <f>(D394*E394)/1000</f>
        <v>30028.463399999997</v>
      </c>
    </row>
    <row r="395" spans="1:6" s="15" customFormat="1" ht="12.75" customHeight="1">
      <c r="A395" s="7" t="s">
        <v>307</v>
      </c>
      <c r="B395" s="8" t="s">
        <v>512</v>
      </c>
      <c r="C395" s="5" t="s">
        <v>11</v>
      </c>
      <c r="D395" s="26"/>
      <c r="E395" s="55"/>
      <c r="F395" s="6">
        <f>SUM(F396:F401)</f>
        <v>39436.098532</v>
      </c>
    </row>
    <row r="396" spans="1:6" s="15" customFormat="1" ht="12.75" customHeight="1">
      <c r="A396" s="7" t="s">
        <v>612</v>
      </c>
      <c r="B396" s="8" t="s">
        <v>511</v>
      </c>
      <c r="C396" s="9" t="s">
        <v>97</v>
      </c>
      <c r="D396" s="26">
        <v>38830</v>
      </c>
      <c r="E396" s="125">
        <v>14.54</v>
      </c>
      <c r="F396" s="6">
        <f aca="true" t="shared" si="3" ref="F396:F401">(D396*E396)/1000</f>
        <v>564.5881999999999</v>
      </c>
    </row>
    <row r="397" spans="1:8" s="15" customFormat="1" ht="12.75" customHeight="1">
      <c r="A397" s="7" t="s">
        <v>613</v>
      </c>
      <c r="B397" s="8" t="s">
        <v>956</v>
      </c>
      <c r="C397" s="9" t="s">
        <v>102</v>
      </c>
      <c r="D397" s="26">
        <v>18194.8</v>
      </c>
      <c r="E397" s="125">
        <v>792.09</v>
      </c>
      <c r="F397" s="6">
        <f t="shared" si="3"/>
        <v>14411.919131999999</v>
      </c>
      <c r="H397" s="93"/>
    </row>
    <row r="398" spans="1:8" s="15" customFormat="1" ht="12.75" customHeight="1">
      <c r="A398" s="7" t="s">
        <v>614</v>
      </c>
      <c r="B398" s="8" t="s">
        <v>971</v>
      </c>
      <c r="C398" s="9" t="s">
        <v>123</v>
      </c>
      <c r="D398" s="26">
        <v>34990</v>
      </c>
      <c r="E398" s="125">
        <v>63</v>
      </c>
      <c r="F398" s="6">
        <f t="shared" si="3"/>
        <v>2204.37</v>
      </c>
      <c r="H398" s="93"/>
    </row>
    <row r="399" spans="1:6" s="15" customFormat="1" ht="12.75" customHeight="1">
      <c r="A399" s="7" t="s">
        <v>615</v>
      </c>
      <c r="B399" s="8" t="s">
        <v>507</v>
      </c>
      <c r="C399" s="9" t="s">
        <v>123</v>
      </c>
      <c r="D399" s="26">
        <v>12360</v>
      </c>
      <c r="E399" s="55">
        <v>21</v>
      </c>
      <c r="F399" s="6">
        <f t="shared" si="3"/>
        <v>259.56</v>
      </c>
    </row>
    <row r="400" spans="1:6" s="15" customFormat="1" ht="12.75" customHeight="1">
      <c r="A400" s="7" t="s">
        <v>616</v>
      </c>
      <c r="B400" s="8" t="s">
        <v>508</v>
      </c>
      <c r="C400" s="9" t="s">
        <v>46</v>
      </c>
      <c r="D400" s="26">
        <v>102130</v>
      </c>
      <c r="E400" s="125">
        <v>201.56</v>
      </c>
      <c r="F400" s="6">
        <f t="shared" si="3"/>
        <v>20585.3228</v>
      </c>
    </row>
    <row r="401" spans="1:6" s="15" customFormat="1" ht="12.75" customHeight="1">
      <c r="A401" s="7" t="s">
        <v>943</v>
      </c>
      <c r="B401" s="8" t="s">
        <v>509</v>
      </c>
      <c r="C401" s="9" t="s">
        <v>46</v>
      </c>
      <c r="D401" s="26">
        <v>5640</v>
      </c>
      <c r="E401" s="125">
        <v>250.06</v>
      </c>
      <c r="F401" s="6">
        <f t="shared" si="3"/>
        <v>1410.3383999999999</v>
      </c>
    </row>
    <row r="402" spans="1:6" s="15" customFormat="1" ht="12.75" customHeight="1">
      <c r="A402" s="7" t="s">
        <v>314</v>
      </c>
      <c r="B402" s="8" t="s">
        <v>290</v>
      </c>
      <c r="C402" s="9" t="s">
        <v>87</v>
      </c>
      <c r="D402" s="26">
        <v>1</v>
      </c>
      <c r="E402" s="27"/>
      <c r="F402" s="6">
        <f>SUM(F389,F395)*D402/100</f>
        <v>3615.08538022</v>
      </c>
    </row>
    <row r="403" spans="1:6" s="15" customFormat="1" ht="12.75" customHeight="1">
      <c r="A403" s="7" t="s">
        <v>308</v>
      </c>
      <c r="B403" s="8" t="s">
        <v>309</v>
      </c>
      <c r="C403" s="9" t="s">
        <v>11</v>
      </c>
      <c r="D403" s="26"/>
      <c r="E403" s="27"/>
      <c r="F403" s="29">
        <f>SUM(F404,F410,F417)</f>
        <v>205113.2898823</v>
      </c>
    </row>
    <row r="404" spans="1:6" s="15" customFormat="1" ht="12.75" customHeight="1">
      <c r="A404" s="7" t="s">
        <v>310</v>
      </c>
      <c r="B404" s="8" t="s">
        <v>94</v>
      </c>
      <c r="C404" s="5" t="s">
        <v>11</v>
      </c>
      <c r="D404" s="26"/>
      <c r="E404" s="27"/>
      <c r="F404" s="6">
        <f>SUM(F405:F409)</f>
        <v>191863.11123</v>
      </c>
    </row>
    <row r="405" spans="1:6" s="15" customFormat="1" ht="12.75" customHeight="1">
      <c r="A405" s="7" t="s">
        <v>311</v>
      </c>
      <c r="B405" s="8" t="s">
        <v>730</v>
      </c>
      <c r="C405" s="9" t="s">
        <v>97</v>
      </c>
      <c r="D405" s="26">
        <v>339470</v>
      </c>
      <c r="E405" s="125">
        <v>9.24</v>
      </c>
      <c r="F405" s="6">
        <f>(D405*E405)/1000</f>
        <v>3136.7028000000005</v>
      </c>
    </row>
    <row r="406" spans="1:6" s="15" customFormat="1" ht="12.75" customHeight="1">
      <c r="A406" s="7" t="s">
        <v>312</v>
      </c>
      <c r="B406" s="8" t="s">
        <v>96</v>
      </c>
      <c r="C406" s="9" t="s">
        <v>97</v>
      </c>
      <c r="D406" s="26">
        <v>1605855</v>
      </c>
      <c r="E406" s="125">
        <v>9.24</v>
      </c>
      <c r="F406" s="6">
        <f>(D406*E406)/1000</f>
        <v>14838.1002</v>
      </c>
    </row>
    <row r="407" spans="1:8" s="15" customFormat="1" ht="12.75" customHeight="1">
      <c r="A407" s="7" t="s">
        <v>610</v>
      </c>
      <c r="B407" s="8" t="s">
        <v>731</v>
      </c>
      <c r="C407" s="9" t="s">
        <v>97</v>
      </c>
      <c r="D407" s="26">
        <v>1048505</v>
      </c>
      <c r="E407" s="125">
        <v>21.87</v>
      </c>
      <c r="F407" s="6">
        <f>(D407*E407)/1000</f>
        <v>22930.804350000002</v>
      </c>
      <c r="H407" s="94"/>
    </row>
    <row r="408" spans="1:8" s="15" customFormat="1" ht="12.75" customHeight="1">
      <c r="A408" s="7" t="s">
        <v>732</v>
      </c>
      <c r="B408" s="8" t="s">
        <v>124</v>
      </c>
      <c r="C408" s="9" t="s">
        <v>97</v>
      </c>
      <c r="D408" s="26">
        <f>4269150-D409</f>
        <v>2860708</v>
      </c>
      <c r="E408" s="125">
        <v>21.87</v>
      </c>
      <c r="F408" s="6">
        <f>(D408*E408)/1000</f>
        <v>62563.68396</v>
      </c>
      <c r="H408" s="128"/>
    </row>
    <row r="409" spans="1:8" s="15" customFormat="1" ht="12.75" customHeight="1">
      <c r="A409" s="7" t="s">
        <v>733</v>
      </c>
      <c r="B409" s="8" t="s">
        <v>609</v>
      </c>
      <c r="C409" s="9" t="s">
        <v>97</v>
      </c>
      <c r="D409" s="26">
        <f>1088652+319790</f>
        <v>1408442</v>
      </c>
      <c r="E409" s="125">
        <v>62.76</v>
      </c>
      <c r="F409" s="6">
        <f>(D409*E409)/1000</f>
        <v>88393.81992000001</v>
      </c>
      <c r="H409" s="128"/>
    </row>
    <row r="410" spans="1:8" s="15" customFormat="1" ht="12.75" customHeight="1">
      <c r="A410" s="7" t="s">
        <v>313</v>
      </c>
      <c r="B410" s="8" t="s">
        <v>512</v>
      </c>
      <c r="C410" s="5" t="s">
        <v>11</v>
      </c>
      <c r="D410" s="26"/>
      <c r="E410" s="55"/>
      <c r="F410" s="6">
        <f>SUM(F411:F416)</f>
        <v>11219.353999999998</v>
      </c>
      <c r="H410" s="94"/>
    </row>
    <row r="411" spans="1:8" s="15" customFormat="1" ht="12.75" customHeight="1">
      <c r="A411" s="7" t="s">
        <v>617</v>
      </c>
      <c r="B411" s="8" t="s">
        <v>511</v>
      </c>
      <c r="C411" s="9" t="s">
        <v>97</v>
      </c>
      <c r="D411" s="26">
        <v>45150</v>
      </c>
      <c r="E411" s="125">
        <v>14.54</v>
      </c>
      <c r="F411" s="6">
        <f>(D411*E411)/1000</f>
        <v>656.481</v>
      </c>
      <c r="H411" s="94"/>
    </row>
    <row r="412" spans="1:8" s="15" customFormat="1" ht="12.75" customHeight="1">
      <c r="A412" s="7" t="s">
        <v>950</v>
      </c>
      <c r="B412" s="8" t="s">
        <v>956</v>
      </c>
      <c r="C412" s="9" t="s">
        <v>123</v>
      </c>
      <c r="D412" s="26">
        <v>4940</v>
      </c>
      <c r="E412" s="125">
        <v>792.09</v>
      </c>
      <c r="F412" s="6">
        <f>(D414*E412)/1000</f>
        <v>7524.855</v>
      </c>
      <c r="H412" s="94"/>
    </row>
    <row r="413" spans="1:8" s="15" customFormat="1" ht="12.75" customHeight="1">
      <c r="A413" s="7" t="s">
        <v>951</v>
      </c>
      <c r="B413" s="8" t="s">
        <v>971</v>
      </c>
      <c r="C413" s="9" t="s">
        <v>123</v>
      </c>
      <c r="D413" s="26">
        <v>9500</v>
      </c>
      <c r="E413" s="125">
        <v>63</v>
      </c>
      <c r="F413" s="6">
        <f>(D412*E413)/1000</f>
        <v>311.22</v>
      </c>
      <c r="H413" s="94"/>
    </row>
    <row r="414" spans="1:6" s="15" customFormat="1" ht="12.75" customHeight="1">
      <c r="A414" s="7" t="s">
        <v>952</v>
      </c>
      <c r="B414" s="8" t="s">
        <v>507</v>
      </c>
      <c r="C414" s="9" t="s">
        <v>123</v>
      </c>
      <c r="D414" s="26">
        <v>9500</v>
      </c>
      <c r="E414" s="55">
        <v>64.11</v>
      </c>
      <c r="F414" s="6">
        <f>(D413*E414)/1000</f>
        <v>609.045</v>
      </c>
    </row>
    <row r="415" spans="1:6" s="15" customFormat="1" ht="12.75" customHeight="1">
      <c r="A415" s="7" t="s">
        <v>953</v>
      </c>
      <c r="B415" s="8" t="s">
        <v>508</v>
      </c>
      <c r="C415" s="9" t="s">
        <v>46</v>
      </c>
      <c r="D415" s="26">
        <v>10085</v>
      </c>
      <c r="E415" s="125">
        <v>201.56</v>
      </c>
      <c r="F415" s="6">
        <f>(D415*E415)/1000</f>
        <v>2032.7326</v>
      </c>
    </row>
    <row r="416" spans="1:8" s="15" customFormat="1" ht="12.75" customHeight="1">
      <c r="A416" s="7" t="s">
        <v>954</v>
      </c>
      <c r="B416" s="8" t="s">
        <v>509</v>
      </c>
      <c r="C416" s="9" t="s">
        <v>46</v>
      </c>
      <c r="D416" s="26">
        <v>340</v>
      </c>
      <c r="E416" s="125">
        <v>250.06</v>
      </c>
      <c r="F416" s="6">
        <f>(D416*E416)/1000</f>
        <v>85.0204</v>
      </c>
      <c r="H416" s="12"/>
    </row>
    <row r="417" spans="1:6" s="15" customFormat="1" ht="12.75" customHeight="1">
      <c r="A417" s="7" t="s">
        <v>315</v>
      </c>
      <c r="B417" s="8" t="s">
        <v>290</v>
      </c>
      <c r="C417" s="9" t="s">
        <v>87</v>
      </c>
      <c r="D417" s="26">
        <v>1</v>
      </c>
      <c r="E417" s="27"/>
      <c r="F417" s="6">
        <f>SUM(F404,F410)*D417/100</f>
        <v>2030.8246523</v>
      </c>
    </row>
    <row r="418" spans="1:6" s="15" customFormat="1" ht="12.75" customHeight="1">
      <c r="A418" s="59" t="s">
        <v>131</v>
      </c>
      <c r="B418" s="60" t="s">
        <v>132</v>
      </c>
      <c r="C418" s="5" t="s">
        <v>11</v>
      </c>
      <c r="D418" s="26"/>
      <c r="E418" s="27"/>
      <c r="F418" s="6">
        <f>SUM(F419,F453,F468)</f>
        <v>1112932.0933518</v>
      </c>
    </row>
    <row r="419" spans="1:6" s="15" customFormat="1" ht="12.75" customHeight="1">
      <c r="A419" s="7" t="s">
        <v>133</v>
      </c>
      <c r="B419" s="8" t="s">
        <v>262</v>
      </c>
      <c r="C419" s="9" t="s">
        <v>11</v>
      </c>
      <c r="D419" s="26"/>
      <c r="E419" s="27"/>
      <c r="F419" s="6">
        <f>SUM(F420,F424,F428,F432,F451:F452)</f>
        <v>713712.184103</v>
      </c>
    </row>
    <row r="420" spans="1:6" s="15" customFormat="1" ht="12.75" customHeight="1">
      <c r="A420" s="7" t="s">
        <v>134</v>
      </c>
      <c r="B420" s="28" t="s">
        <v>94</v>
      </c>
      <c r="C420" s="9" t="s">
        <v>11</v>
      </c>
      <c r="D420" s="26"/>
      <c r="E420" s="27"/>
      <c r="F420" s="6">
        <f>SUM(F421:F423)</f>
        <v>32226.806474999998</v>
      </c>
    </row>
    <row r="421" spans="1:6" s="15" customFormat="1" ht="12.75" customHeight="1">
      <c r="A421" s="7" t="s">
        <v>135</v>
      </c>
      <c r="B421" s="8" t="s">
        <v>96</v>
      </c>
      <c r="C421" s="9" t="s">
        <v>97</v>
      </c>
      <c r="D421" s="26">
        <v>109630</v>
      </c>
      <c r="E421" s="125">
        <v>9.24</v>
      </c>
      <c r="F421" s="6">
        <f>(D421*E421)/1000</f>
        <v>1012.9812000000001</v>
      </c>
    </row>
    <row r="422" spans="1:6" s="15" customFormat="1" ht="12.75" customHeight="1">
      <c r="A422" s="7" t="s">
        <v>136</v>
      </c>
      <c r="B422" s="8" t="s">
        <v>326</v>
      </c>
      <c r="C422" s="9" t="s">
        <v>97</v>
      </c>
      <c r="D422" s="26">
        <f>1291770-D423</f>
        <v>984742.5</v>
      </c>
      <c r="E422" s="125">
        <v>21.87</v>
      </c>
      <c r="F422" s="6">
        <f>(D422*E422)/1000</f>
        <v>21536.318475</v>
      </c>
    </row>
    <row r="423" spans="1:6" s="15" customFormat="1" ht="12.75" customHeight="1">
      <c r="A423" s="7" t="s">
        <v>618</v>
      </c>
      <c r="B423" s="8" t="s">
        <v>515</v>
      </c>
      <c r="C423" s="9" t="s">
        <v>97</v>
      </c>
      <c r="D423" s="26">
        <v>307027.5</v>
      </c>
      <c r="E423" s="125">
        <v>31.52</v>
      </c>
      <c r="F423" s="6">
        <f>(D423*E423)/1000</f>
        <v>9677.506800000001</v>
      </c>
    </row>
    <row r="424" spans="1:6" s="15" customFormat="1" ht="12.75" customHeight="1">
      <c r="A424" s="7" t="s">
        <v>137</v>
      </c>
      <c r="B424" s="8" t="s">
        <v>100</v>
      </c>
      <c r="C424" s="9" t="s">
        <v>11</v>
      </c>
      <c r="D424" s="26"/>
      <c r="E424" s="55"/>
      <c r="F424" s="6">
        <f>SUM(F425:F427)</f>
        <v>2613.542</v>
      </c>
    </row>
    <row r="425" spans="1:6" s="15" customFormat="1" ht="12.75" customHeight="1">
      <c r="A425" s="7" t="s">
        <v>642</v>
      </c>
      <c r="B425" s="8" t="s">
        <v>504</v>
      </c>
      <c r="C425" s="9" t="s">
        <v>123</v>
      </c>
      <c r="D425" s="26">
        <v>23795</v>
      </c>
      <c r="E425" s="125">
        <v>46.71</v>
      </c>
      <c r="F425" s="6">
        <f>(D425*E425)/1000</f>
        <v>1111.46445</v>
      </c>
    </row>
    <row r="426" spans="1:6" s="15" customFormat="1" ht="12.75" customHeight="1">
      <c r="A426" s="7" t="s">
        <v>643</v>
      </c>
      <c r="B426" s="8" t="s">
        <v>974</v>
      </c>
      <c r="C426" s="9" t="s">
        <v>46</v>
      </c>
      <c r="D426" s="26">
        <v>4870</v>
      </c>
      <c r="E426" s="125">
        <v>223.94</v>
      </c>
      <c r="F426" s="6">
        <f>(D426*E426)/1000</f>
        <v>1090.5878</v>
      </c>
    </row>
    <row r="427" spans="1:6" s="15" customFormat="1" ht="12.75" customHeight="1">
      <c r="A427" s="7" t="s">
        <v>644</v>
      </c>
      <c r="B427" s="8" t="s">
        <v>586</v>
      </c>
      <c r="C427" s="9" t="s">
        <v>46</v>
      </c>
      <c r="D427" s="26">
        <v>3675</v>
      </c>
      <c r="E427" s="125">
        <v>111.97</v>
      </c>
      <c r="F427" s="6">
        <f>(D427*E427)/1000</f>
        <v>411.48975</v>
      </c>
    </row>
    <row r="428" spans="1:6" s="15" customFormat="1" ht="12.75" customHeight="1">
      <c r="A428" s="7" t="s">
        <v>233</v>
      </c>
      <c r="B428" s="8" t="s">
        <v>101</v>
      </c>
      <c r="C428" s="9" t="s">
        <v>11</v>
      </c>
      <c r="D428" s="26"/>
      <c r="E428" s="27"/>
      <c r="F428" s="6">
        <f>SUM(F429:F431)</f>
        <v>465463.505628</v>
      </c>
    </row>
    <row r="429" spans="1:6" s="15" customFormat="1" ht="12.75" customHeight="1">
      <c r="A429" s="7" t="s">
        <v>231</v>
      </c>
      <c r="B429" s="8" t="s">
        <v>103</v>
      </c>
      <c r="C429" s="9" t="s">
        <v>97</v>
      </c>
      <c r="D429" s="26">
        <v>492360</v>
      </c>
      <c r="E429" s="125">
        <v>258.27</v>
      </c>
      <c r="F429" s="6">
        <f>(D429*E429)/1000</f>
        <v>127161.81719999999</v>
      </c>
    </row>
    <row r="430" spans="1:6" s="15" customFormat="1" ht="12.75" customHeight="1">
      <c r="A430" s="7" t="s">
        <v>229</v>
      </c>
      <c r="B430" s="119" t="s">
        <v>944</v>
      </c>
      <c r="C430" s="9" t="s">
        <v>102</v>
      </c>
      <c r="D430" s="26">
        <f>0.27*D429</f>
        <v>132937.2</v>
      </c>
      <c r="E430" s="125">
        <v>792.09</v>
      </c>
      <c r="F430" s="6">
        <f>(D430*E430)/1000</f>
        <v>105298.22674800002</v>
      </c>
    </row>
    <row r="431" spans="1:6" s="15" customFormat="1" ht="12.75" customHeight="1">
      <c r="A431" s="7" t="s">
        <v>230</v>
      </c>
      <c r="B431" s="8" t="s">
        <v>104</v>
      </c>
      <c r="C431" s="9" t="s">
        <v>102</v>
      </c>
      <c r="D431" s="26">
        <f>0.06*D429</f>
        <v>29541.6</v>
      </c>
      <c r="E431" s="125">
        <v>7887.3</v>
      </c>
      <c r="F431" s="6">
        <f>(D431*E431)/1000</f>
        <v>233003.46168</v>
      </c>
    </row>
    <row r="432" spans="1:6" s="15" customFormat="1" ht="12.75" customHeight="1">
      <c r="A432" s="3" t="s">
        <v>138</v>
      </c>
      <c r="B432" s="4" t="s">
        <v>111</v>
      </c>
      <c r="C432" s="5" t="s">
        <v>11</v>
      </c>
      <c r="D432" s="26"/>
      <c r="E432" s="27"/>
      <c r="F432" s="6">
        <f>SUM(F433,F438,F442,F447:F449,F450)</f>
        <v>213408.33</v>
      </c>
    </row>
    <row r="433" spans="1:6" s="15" customFormat="1" ht="12.75" customHeight="1">
      <c r="A433" s="7" t="s">
        <v>139</v>
      </c>
      <c r="B433" s="75" t="s">
        <v>890</v>
      </c>
      <c r="C433" s="5" t="s">
        <v>11</v>
      </c>
      <c r="D433" s="26"/>
      <c r="E433" s="27"/>
      <c r="F433" s="6">
        <f>SUM(F434:F437)</f>
        <v>46880</v>
      </c>
    </row>
    <row r="434" spans="1:6" s="15" customFormat="1" ht="12.75" customHeight="1">
      <c r="A434" s="7" t="s">
        <v>140</v>
      </c>
      <c r="B434" s="8" t="s">
        <v>112</v>
      </c>
      <c r="C434" s="9" t="s">
        <v>113</v>
      </c>
      <c r="D434" s="108">
        <v>48</v>
      </c>
      <c r="E434" s="96">
        <v>750000</v>
      </c>
      <c r="F434" s="72">
        <f>D434*E434/1000</f>
        <v>36000</v>
      </c>
    </row>
    <row r="435" spans="1:6" s="15" customFormat="1" ht="12.75" customHeight="1">
      <c r="A435" s="7" t="s">
        <v>141</v>
      </c>
      <c r="B435" s="8" t="s">
        <v>114</v>
      </c>
      <c r="C435" s="9" t="s">
        <v>11</v>
      </c>
      <c r="D435" s="26"/>
      <c r="E435" s="96"/>
      <c r="F435" s="6">
        <f>F434*0.08</f>
        <v>2880</v>
      </c>
    </row>
    <row r="436" spans="1:6" s="15" customFormat="1" ht="12.75" customHeight="1">
      <c r="A436" s="7" t="s">
        <v>142</v>
      </c>
      <c r="B436" s="8" t="s">
        <v>115</v>
      </c>
      <c r="C436" s="9" t="s">
        <v>11</v>
      </c>
      <c r="D436" s="26"/>
      <c r="E436" s="96"/>
      <c r="F436" s="6">
        <f>F434*0.1</f>
        <v>3600</v>
      </c>
    </row>
    <row r="437" spans="1:6" s="15" customFormat="1" ht="12.75" customHeight="1">
      <c r="A437" s="7" t="s">
        <v>422</v>
      </c>
      <c r="B437" s="8" t="s">
        <v>423</v>
      </c>
      <c r="C437" s="9" t="s">
        <v>113</v>
      </c>
      <c r="D437" s="26">
        <v>88</v>
      </c>
      <c r="E437" s="96">
        <v>50000</v>
      </c>
      <c r="F437" s="6">
        <f>E437*D437/1000</f>
        <v>4400</v>
      </c>
    </row>
    <row r="438" spans="1:6" s="15" customFormat="1" ht="12.75" customHeight="1">
      <c r="A438" s="7" t="s">
        <v>143</v>
      </c>
      <c r="B438" s="75" t="s">
        <v>955</v>
      </c>
      <c r="C438" s="5" t="s">
        <v>11</v>
      </c>
      <c r="D438" s="26"/>
      <c r="E438" s="96"/>
      <c r="F438" s="72">
        <f>SUM(F439:F441)</f>
        <v>1836</v>
      </c>
    </row>
    <row r="439" spans="1:6" s="15" customFormat="1" ht="12.75" customHeight="1">
      <c r="A439" s="7" t="s">
        <v>144</v>
      </c>
      <c r="B439" s="8" t="s">
        <v>112</v>
      </c>
      <c r="C439" s="9" t="s">
        <v>113</v>
      </c>
      <c r="D439" s="26">
        <v>3</v>
      </c>
      <c r="E439" s="73">
        <v>510000</v>
      </c>
      <c r="F439" s="72">
        <f>D439*E439/1000</f>
        <v>1530</v>
      </c>
    </row>
    <row r="440" spans="1:6" s="15" customFormat="1" ht="12.75" customHeight="1">
      <c r="A440" s="7" t="s">
        <v>145</v>
      </c>
      <c r="B440" s="8" t="s">
        <v>114</v>
      </c>
      <c r="C440" s="9" t="s">
        <v>11</v>
      </c>
      <c r="D440" s="26"/>
      <c r="E440" s="27"/>
      <c r="F440" s="6">
        <f>F439*0.08</f>
        <v>122.4</v>
      </c>
    </row>
    <row r="441" spans="1:6" s="15" customFormat="1" ht="12.75" customHeight="1">
      <c r="A441" s="7" t="s">
        <v>146</v>
      </c>
      <c r="B441" s="8" t="s">
        <v>115</v>
      </c>
      <c r="C441" s="9" t="s">
        <v>11</v>
      </c>
      <c r="D441" s="26"/>
      <c r="E441" s="27"/>
      <c r="F441" s="6">
        <f>F439*0.12</f>
        <v>183.6</v>
      </c>
    </row>
    <row r="442" spans="1:6" s="15" customFormat="1" ht="12.75" customHeight="1">
      <c r="A442" s="7" t="s">
        <v>147</v>
      </c>
      <c r="B442" s="8" t="s">
        <v>891</v>
      </c>
      <c r="C442" s="5" t="s">
        <v>11</v>
      </c>
      <c r="D442" s="26"/>
      <c r="E442" s="27"/>
      <c r="F442" s="6">
        <f>SUM(F443:F446)</f>
        <v>38174.4</v>
      </c>
    </row>
    <row r="443" spans="1:6" s="15" customFormat="1" ht="12.75" customHeight="1">
      <c r="A443" s="7" t="s">
        <v>148</v>
      </c>
      <c r="B443" s="8" t="s">
        <v>112</v>
      </c>
      <c r="C443" s="9" t="s">
        <v>113</v>
      </c>
      <c r="D443" s="26">
        <v>176</v>
      </c>
      <c r="E443" s="27">
        <v>155000</v>
      </c>
      <c r="F443" s="6">
        <f>D443*E443/1000</f>
        <v>27280</v>
      </c>
    </row>
    <row r="444" spans="1:10" s="15" customFormat="1" ht="12.75" customHeight="1">
      <c r="A444" s="7" t="s">
        <v>149</v>
      </c>
      <c r="B444" s="8" t="s">
        <v>114</v>
      </c>
      <c r="C444" s="9" t="s">
        <v>11</v>
      </c>
      <c r="D444" s="26"/>
      <c r="E444" s="27"/>
      <c r="F444" s="6">
        <f>F443*0.08</f>
        <v>2182.4</v>
      </c>
      <c r="J444" s="15" t="s">
        <v>280</v>
      </c>
    </row>
    <row r="445" spans="1:6" s="15" customFormat="1" ht="12.75" customHeight="1">
      <c r="A445" s="7" t="s">
        <v>150</v>
      </c>
      <c r="B445" s="8" t="s">
        <v>115</v>
      </c>
      <c r="C445" s="9" t="s">
        <v>11</v>
      </c>
      <c r="D445" s="26"/>
      <c r="E445" s="27"/>
      <c r="F445" s="6">
        <f>F443*0.1</f>
        <v>2728</v>
      </c>
    </row>
    <row r="446" spans="1:6" s="15" customFormat="1" ht="12.75" customHeight="1">
      <c r="A446" s="7" t="s">
        <v>888</v>
      </c>
      <c r="B446" s="8" t="s">
        <v>889</v>
      </c>
      <c r="C446" s="9" t="s">
        <v>113</v>
      </c>
      <c r="D446" s="26">
        <v>176</v>
      </c>
      <c r="E446" s="27">
        <v>34000</v>
      </c>
      <c r="F446" s="6">
        <f>D446*E446/1000</f>
        <v>5984</v>
      </c>
    </row>
    <row r="447" spans="1:6" s="15" customFormat="1" ht="12.75" customHeight="1">
      <c r="A447" s="7" t="s">
        <v>880</v>
      </c>
      <c r="B447" s="8" t="s">
        <v>883</v>
      </c>
      <c r="C447" s="5" t="s">
        <v>11</v>
      </c>
      <c r="D447" s="26"/>
      <c r="E447" s="27"/>
      <c r="F447" s="6">
        <v>2823.1</v>
      </c>
    </row>
    <row r="448" spans="1:6" s="15" customFormat="1" ht="12.75" customHeight="1">
      <c r="A448" s="7" t="s">
        <v>881</v>
      </c>
      <c r="B448" s="8" t="s">
        <v>878</v>
      </c>
      <c r="C448" s="5" t="s">
        <v>11</v>
      </c>
      <c r="D448" s="26"/>
      <c r="E448" s="27"/>
      <c r="F448" s="6">
        <v>336.93</v>
      </c>
    </row>
    <row r="449" spans="1:6" s="15" customFormat="1" ht="12.75" customHeight="1">
      <c r="A449" s="7" t="s">
        <v>882</v>
      </c>
      <c r="B449" s="8" t="s">
        <v>913</v>
      </c>
      <c r="C449" s="5" t="s">
        <v>11</v>
      </c>
      <c r="D449" s="26"/>
      <c r="E449" s="27"/>
      <c r="F449" s="6">
        <v>3357.9</v>
      </c>
    </row>
    <row r="450" spans="1:6" s="15" customFormat="1" ht="12.75" customHeight="1">
      <c r="A450" s="7" t="s">
        <v>961</v>
      </c>
      <c r="B450" s="8" t="s">
        <v>975</v>
      </c>
      <c r="C450" s="5" t="s">
        <v>11</v>
      </c>
      <c r="D450" s="26"/>
      <c r="E450" s="27"/>
      <c r="F450" s="6">
        <v>120000</v>
      </c>
    </row>
    <row r="451" spans="1:6" s="15" customFormat="1" ht="12.75" customHeight="1">
      <c r="A451" s="7" t="s">
        <v>263</v>
      </c>
      <c r="B451" s="8" t="s">
        <v>245</v>
      </c>
      <c r="C451" s="9" t="s">
        <v>11</v>
      </c>
      <c r="D451" s="26"/>
      <c r="E451" s="27"/>
      <c r="F451" s="6">
        <f>(D451*E451)/1000</f>
        <v>0</v>
      </c>
    </row>
    <row r="452" spans="1:6" s="15" customFormat="1" ht="12.75" customHeight="1">
      <c r="A452" s="7" t="s">
        <v>264</v>
      </c>
      <c r="B452" s="8" t="s">
        <v>290</v>
      </c>
      <c r="C452" s="9" t="s">
        <v>87</v>
      </c>
      <c r="D452" s="26"/>
      <c r="E452" s="27"/>
      <c r="F452" s="6">
        <f>SUM(F420,F424,F428,F432,F451)*D452/100</f>
        <v>0</v>
      </c>
    </row>
    <row r="453" spans="1:6" s="15" customFormat="1" ht="12.75" customHeight="1">
      <c r="A453" s="7" t="s">
        <v>237</v>
      </c>
      <c r="B453" s="8" t="s">
        <v>285</v>
      </c>
      <c r="C453" s="9" t="s">
        <v>11</v>
      </c>
      <c r="D453" s="26"/>
      <c r="E453" s="27"/>
      <c r="F453" s="6">
        <f>SUM(F454,F459:F460,F467)</f>
        <v>272064.64542868006</v>
      </c>
    </row>
    <row r="454" spans="1:6" s="15" customFormat="1" ht="12.75" customHeight="1">
      <c r="A454" s="7" t="s">
        <v>234</v>
      </c>
      <c r="B454" s="8" t="s">
        <v>94</v>
      </c>
      <c r="C454" s="9" t="s">
        <v>11</v>
      </c>
      <c r="D454" s="26"/>
      <c r="E454" s="27"/>
      <c r="F454" s="6">
        <f>SUM(F455:F458)</f>
        <v>266076.17286000005</v>
      </c>
    </row>
    <row r="455" spans="1:6" s="15" customFormat="1" ht="12.75" customHeight="1">
      <c r="A455" s="7" t="s">
        <v>235</v>
      </c>
      <c r="B455" s="8" t="s">
        <v>734</v>
      </c>
      <c r="C455" s="9" t="s">
        <v>97</v>
      </c>
      <c r="D455" s="26">
        <v>397165</v>
      </c>
      <c r="E455" s="125">
        <v>9.24</v>
      </c>
      <c r="F455" s="6">
        <f>(D455*E455)/1000</f>
        <v>3669.8046</v>
      </c>
    </row>
    <row r="456" spans="1:6" s="15" customFormat="1" ht="12.75" customHeight="1">
      <c r="A456" s="7" t="s">
        <v>238</v>
      </c>
      <c r="B456" s="8" t="s">
        <v>96</v>
      </c>
      <c r="C456" s="9" t="s">
        <v>97</v>
      </c>
      <c r="D456" s="26">
        <v>3860046</v>
      </c>
      <c r="E456" s="125">
        <v>9.24</v>
      </c>
      <c r="F456" s="6">
        <f>(D456*E456)/1000</f>
        <v>35666.825039999996</v>
      </c>
    </row>
    <row r="457" spans="1:6" s="15" customFormat="1" ht="12.75" customHeight="1">
      <c r="A457" s="7" t="s">
        <v>736</v>
      </c>
      <c r="B457" s="8" t="s">
        <v>735</v>
      </c>
      <c r="C457" s="9" t="s">
        <v>97</v>
      </c>
      <c r="D457" s="26">
        <v>5575311</v>
      </c>
      <c r="E457" s="125">
        <v>21.87</v>
      </c>
      <c r="F457" s="6">
        <f>(D457*E457)/1000</f>
        <v>121932.05157000001</v>
      </c>
    </row>
    <row r="458" spans="1:6" s="15" customFormat="1" ht="12.75" customHeight="1">
      <c r="A458" s="7" t="s">
        <v>737</v>
      </c>
      <c r="B458" s="8" t="s">
        <v>124</v>
      </c>
      <c r="C458" s="9" t="s">
        <v>97</v>
      </c>
      <c r="D458" s="26">
        <v>4792295</v>
      </c>
      <c r="E458" s="125">
        <v>21.87</v>
      </c>
      <c r="F458" s="6">
        <f>(D458*E458)/1000</f>
        <v>104807.49165000001</v>
      </c>
    </row>
    <row r="459" spans="1:6" s="15" customFormat="1" ht="12.75" customHeight="1">
      <c r="A459" s="7" t="s">
        <v>236</v>
      </c>
      <c r="B459" s="8" t="s">
        <v>100</v>
      </c>
      <c r="C459" s="9" t="s">
        <v>239</v>
      </c>
      <c r="D459" s="26"/>
      <c r="E459" s="55"/>
      <c r="F459" s="6">
        <f>(D459*E459)/1000</f>
        <v>0</v>
      </c>
    </row>
    <row r="460" spans="1:6" s="15" customFormat="1" ht="12.75" customHeight="1">
      <c r="A460" s="7" t="s">
        <v>265</v>
      </c>
      <c r="B460" s="8" t="s">
        <v>513</v>
      </c>
      <c r="C460" s="9" t="s">
        <v>11</v>
      </c>
      <c r="D460" s="26"/>
      <c r="E460" s="69"/>
      <c r="F460" s="6">
        <f>SUM(F461:F466)</f>
        <v>3294.763208</v>
      </c>
    </row>
    <row r="461" spans="1:6" s="15" customFormat="1" ht="12.75" customHeight="1">
      <c r="A461" s="7" t="s">
        <v>632</v>
      </c>
      <c r="B461" s="8" t="s">
        <v>511</v>
      </c>
      <c r="C461" s="9" t="s">
        <v>97</v>
      </c>
      <c r="D461" s="26">
        <v>19460</v>
      </c>
      <c r="E461" s="125">
        <v>14.54</v>
      </c>
      <c r="F461" s="6">
        <f aca="true" t="shared" si="4" ref="F461:F466">(D461*E461)/1000</f>
        <v>282.9484</v>
      </c>
    </row>
    <row r="462" spans="1:6" s="15" customFormat="1" ht="12.75" customHeight="1">
      <c r="A462" s="7" t="s">
        <v>633</v>
      </c>
      <c r="B462" s="8" t="s">
        <v>956</v>
      </c>
      <c r="C462" s="9" t="s">
        <v>102</v>
      </c>
      <c r="D462" s="26">
        <v>2631.2</v>
      </c>
      <c r="E462" s="125">
        <v>792.09</v>
      </c>
      <c r="F462" s="6">
        <f t="shared" si="4"/>
        <v>2084.147208</v>
      </c>
    </row>
    <row r="463" spans="1:6" s="15" customFormat="1" ht="12.75" customHeight="1">
      <c r="A463" s="7" t="s">
        <v>634</v>
      </c>
      <c r="B463" s="8" t="s">
        <v>957</v>
      </c>
      <c r="C463" s="9" t="s">
        <v>123</v>
      </c>
      <c r="D463" s="26">
        <v>5060</v>
      </c>
      <c r="E463" s="125">
        <v>63</v>
      </c>
      <c r="F463" s="6">
        <f t="shared" si="4"/>
        <v>318.78</v>
      </c>
    </row>
    <row r="464" spans="1:6" s="15" customFormat="1" ht="12.75" customHeight="1">
      <c r="A464" s="7" t="s">
        <v>635</v>
      </c>
      <c r="B464" s="8" t="s">
        <v>507</v>
      </c>
      <c r="C464" s="9" t="s">
        <v>123</v>
      </c>
      <c r="D464" s="26">
        <v>5060</v>
      </c>
      <c r="E464" s="55">
        <v>21</v>
      </c>
      <c r="F464" s="6">
        <f t="shared" si="4"/>
        <v>106.26</v>
      </c>
    </row>
    <row r="465" spans="1:6" s="94" customFormat="1" ht="12.75" customHeight="1">
      <c r="A465" s="7" t="s">
        <v>636</v>
      </c>
      <c r="B465" s="8" t="s">
        <v>508</v>
      </c>
      <c r="C465" s="9" t="s">
        <v>46</v>
      </c>
      <c r="D465" s="26">
        <f>1900+420</f>
        <v>2320</v>
      </c>
      <c r="E465" s="125">
        <v>201.56</v>
      </c>
      <c r="F465" s="6">
        <f t="shared" si="4"/>
        <v>467.61920000000003</v>
      </c>
    </row>
    <row r="466" spans="1:6" s="15" customFormat="1" ht="12.75" customHeight="1">
      <c r="A466" s="7" t="s">
        <v>945</v>
      </c>
      <c r="B466" s="8" t="s">
        <v>509</v>
      </c>
      <c r="C466" s="9" t="s">
        <v>46</v>
      </c>
      <c r="D466" s="26">
        <v>140</v>
      </c>
      <c r="E466" s="125">
        <v>250.06</v>
      </c>
      <c r="F466" s="6">
        <f t="shared" si="4"/>
        <v>35.0084</v>
      </c>
    </row>
    <row r="467" spans="1:6" s="15" customFormat="1" ht="12.75" customHeight="1">
      <c r="A467" s="7" t="s">
        <v>266</v>
      </c>
      <c r="B467" s="8" t="s">
        <v>976</v>
      </c>
      <c r="C467" s="9" t="s">
        <v>87</v>
      </c>
      <c r="D467" s="26">
        <v>1</v>
      </c>
      <c r="E467" s="27">
        <f>SUM(F460,F454)</f>
        <v>269370.93606800004</v>
      </c>
      <c r="F467" s="6">
        <f>D467*E467/100</f>
        <v>2693.7093606800004</v>
      </c>
    </row>
    <row r="468" spans="1:6" s="15" customFormat="1" ht="12.75" customHeight="1">
      <c r="A468" s="7" t="s">
        <v>151</v>
      </c>
      <c r="B468" s="8" t="s">
        <v>152</v>
      </c>
      <c r="C468" s="9" t="s">
        <v>11</v>
      </c>
      <c r="D468" s="26"/>
      <c r="E468" s="27"/>
      <c r="F468" s="6">
        <f>SUM(F469,F474:F475,F482)</f>
        <v>127155.26382012</v>
      </c>
    </row>
    <row r="469" spans="1:6" s="15" customFormat="1" ht="12.75" customHeight="1">
      <c r="A469" s="7" t="s">
        <v>153</v>
      </c>
      <c r="B469" s="8" t="s">
        <v>94</v>
      </c>
      <c r="C469" s="9" t="s">
        <v>11</v>
      </c>
      <c r="D469" s="26"/>
      <c r="E469" s="27"/>
      <c r="F469" s="6">
        <f>SUM(F470:F473)</f>
        <v>124227.17835</v>
      </c>
    </row>
    <row r="470" spans="1:6" s="15" customFormat="1" ht="12.75" customHeight="1">
      <c r="A470" s="7" t="s">
        <v>154</v>
      </c>
      <c r="B470" s="8" t="s">
        <v>734</v>
      </c>
      <c r="C470" s="9" t="s">
        <v>97</v>
      </c>
      <c r="D470" s="26">
        <v>338326</v>
      </c>
      <c r="E470" s="125">
        <v>9.24</v>
      </c>
      <c r="F470" s="6">
        <f>(D470*E470)/1000</f>
        <v>3126.1322400000004</v>
      </c>
    </row>
    <row r="471" spans="1:6" s="15" customFormat="1" ht="12.75" customHeight="1">
      <c r="A471" s="7" t="s">
        <v>155</v>
      </c>
      <c r="B471" s="8" t="s">
        <v>96</v>
      </c>
      <c r="C471" s="9" t="s">
        <v>97</v>
      </c>
      <c r="D471" s="26">
        <v>6052500</v>
      </c>
      <c r="E471" s="125">
        <v>9.24</v>
      </c>
      <c r="F471" s="6">
        <f>(D471*E471)/1000</f>
        <v>55925.1</v>
      </c>
    </row>
    <row r="472" spans="1:6" s="15" customFormat="1" ht="12.75" customHeight="1">
      <c r="A472" s="7" t="s">
        <v>848</v>
      </c>
      <c r="B472" s="8" t="s">
        <v>735</v>
      </c>
      <c r="C472" s="9" t="s">
        <v>97</v>
      </c>
      <c r="D472" s="26">
        <v>1665353</v>
      </c>
      <c r="E472" s="125">
        <v>21.87</v>
      </c>
      <c r="F472" s="6">
        <f>(D472*E472)/1000</f>
        <v>36421.27011</v>
      </c>
    </row>
    <row r="473" spans="1:6" s="15" customFormat="1" ht="12.75" customHeight="1">
      <c r="A473" s="7" t="s">
        <v>849</v>
      </c>
      <c r="B473" s="8" t="s">
        <v>124</v>
      </c>
      <c r="C473" s="9" t="s">
        <v>97</v>
      </c>
      <c r="D473" s="26">
        <v>1314800</v>
      </c>
      <c r="E473" s="125">
        <v>21.87</v>
      </c>
      <c r="F473" s="6">
        <f>(D473*E473)/1000</f>
        <v>28754.676</v>
      </c>
    </row>
    <row r="474" spans="1:6" s="15" customFormat="1" ht="12.75" customHeight="1">
      <c r="A474" s="7" t="s">
        <v>267</v>
      </c>
      <c r="B474" s="8" t="s">
        <v>100</v>
      </c>
      <c r="C474" s="9" t="s">
        <v>239</v>
      </c>
      <c r="D474" s="26"/>
      <c r="E474" s="55"/>
      <c r="F474" s="6">
        <f>(D474*E474)/1000</f>
        <v>0</v>
      </c>
    </row>
    <row r="475" spans="1:6" s="15" customFormat="1" ht="12.75" customHeight="1">
      <c r="A475" s="7" t="s">
        <v>268</v>
      </c>
      <c r="B475" s="28" t="s">
        <v>510</v>
      </c>
      <c r="C475" s="9" t="s">
        <v>11</v>
      </c>
      <c r="D475" s="26"/>
      <c r="E475" s="69"/>
      <c r="F475" s="6">
        <f>SUM(F476:F481)</f>
        <v>1669.1224620000003</v>
      </c>
    </row>
    <row r="476" spans="1:6" s="15" customFormat="1" ht="12.75" customHeight="1">
      <c r="A476" s="7" t="s">
        <v>637</v>
      </c>
      <c r="B476" s="8" t="s">
        <v>511</v>
      </c>
      <c r="C476" s="9"/>
      <c r="D476" s="26">
        <v>22700</v>
      </c>
      <c r="E476" s="125">
        <v>14.54</v>
      </c>
      <c r="F476" s="6">
        <f aca="true" t="shared" si="5" ref="F476:F481">(D476*E476)/1000</f>
        <v>330.058</v>
      </c>
    </row>
    <row r="477" spans="1:6" s="15" customFormat="1" ht="12.75" customHeight="1">
      <c r="A477" s="7" t="s">
        <v>638</v>
      </c>
      <c r="B477" s="8" t="s">
        <v>956</v>
      </c>
      <c r="C477" s="9" t="s">
        <v>102</v>
      </c>
      <c r="D477" s="26">
        <v>1151.8</v>
      </c>
      <c r="E477" s="125">
        <v>792.09</v>
      </c>
      <c r="F477" s="6">
        <f t="shared" si="5"/>
        <v>912.329262</v>
      </c>
    </row>
    <row r="478" spans="1:6" s="15" customFormat="1" ht="12.75" customHeight="1">
      <c r="A478" s="7" t="s">
        <v>639</v>
      </c>
      <c r="B478" s="8" t="s">
        <v>971</v>
      </c>
      <c r="C478" s="9" t="s">
        <v>123</v>
      </c>
      <c r="D478" s="26">
        <v>2215</v>
      </c>
      <c r="E478" s="125">
        <v>63</v>
      </c>
      <c r="F478" s="6">
        <f t="shared" si="5"/>
        <v>139.545</v>
      </c>
    </row>
    <row r="479" spans="1:6" s="15" customFormat="1" ht="12.75" customHeight="1">
      <c r="A479" s="7" t="s">
        <v>640</v>
      </c>
      <c r="B479" s="8" t="s">
        <v>507</v>
      </c>
      <c r="C479" s="9" t="s">
        <v>123</v>
      </c>
      <c r="D479" s="26">
        <v>2215</v>
      </c>
      <c r="E479" s="55">
        <v>21</v>
      </c>
      <c r="F479" s="6">
        <f t="shared" si="5"/>
        <v>46.515</v>
      </c>
    </row>
    <row r="480" spans="1:6" s="15" customFormat="1" ht="12.75" customHeight="1">
      <c r="A480" s="7" t="s">
        <v>641</v>
      </c>
      <c r="B480" s="8" t="s">
        <v>508</v>
      </c>
      <c r="C480" s="9" t="s">
        <v>46</v>
      </c>
      <c r="D480" s="26">
        <f>830+240</f>
        <v>1070</v>
      </c>
      <c r="E480" s="125">
        <v>201.56</v>
      </c>
      <c r="F480" s="6">
        <f t="shared" si="5"/>
        <v>215.66920000000002</v>
      </c>
    </row>
    <row r="481" spans="1:6" s="15" customFormat="1" ht="12.75" customHeight="1">
      <c r="A481" s="7" t="s">
        <v>946</v>
      </c>
      <c r="B481" s="8" t="s">
        <v>509</v>
      </c>
      <c r="C481" s="9" t="s">
        <v>46</v>
      </c>
      <c r="D481" s="26">
        <v>100</v>
      </c>
      <c r="E481" s="125">
        <v>250.06</v>
      </c>
      <c r="F481" s="6">
        <f t="shared" si="5"/>
        <v>25.006</v>
      </c>
    </row>
    <row r="482" spans="1:6" s="15" customFormat="1" ht="12.75" customHeight="1">
      <c r="A482" s="7" t="s">
        <v>269</v>
      </c>
      <c r="B482" s="8" t="s">
        <v>976</v>
      </c>
      <c r="C482" s="9" t="s">
        <v>87</v>
      </c>
      <c r="D482" s="26">
        <v>1</v>
      </c>
      <c r="E482" s="27">
        <f>SUM(F469,F475)</f>
        <v>125896.300812</v>
      </c>
      <c r="F482" s="6">
        <f>E482*D482/100</f>
        <v>1258.96300812</v>
      </c>
    </row>
    <row r="483" spans="1:6" ht="12.75" customHeight="1">
      <c r="A483" s="7"/>
      <c r="B483" s="8"/>
      <c r="C483" s="9"/>
      <c r="D483" s="26"/>
      <c r="E483" s="27"/>
      <c r="F483" s="6"/>
    </row>
    <row r="484" spans="1:6" ht="12.75" customHeight="1">
      <c r="A484" s="7"/>
      <c r="B484" s="8" t="s">
        <v>156</v>
      </c>
      <c r="C484" s="9" t="s">
        <v>11</v>
      </c>
      <c r="D484" s="26"/>
      <c r="E484" s="27"/>
      <c r="F484" s="6">
        <f>(SUM(F167,F263,F341,F418)-F485)</f>
        <v>2269876.0255577024</v>
      </c>
    </row>
    <row r="485" spans="1:8" ht="12.75" customHeight="1">
      <c r="A485" s="7"/>
      <c r="B485" s="8" t="s">
        <v>158</v>
      </c>
      <c r="C485" s="9" t="s">
        <v>11</v>
      </c>
      <c r="D485" s="26"/>
      <c r="E485" s="27"/>
      <c r="F485" s="6">
        <f>SUM(F282,F322,F358,F386,F432,F451)</f>
        <v>324625.26003736</v>
      </c>
      <c r="H485" s="117"/>
    </row>
    <row r="486" spans="1:6" s="2" customFormat="1" ht="12.75" customHeight="1">
      <c r="A486" s="7"/>
      <c r="B486" s="8"/>
      <c r="C486" s="9"/>
      <c r="D486" s="26"/>
      <c r="E486" s="27"/>
      <c r="F486" s="6"/>
    </row>
    <row r="487" spans="1:6" s="15" customFormat="1" ht="12.75" customHeight="1">
      <c r="A487" s="59" t="s">
        <v>159</v>
      </c>
      <c r="B487" s="60" t="s">
        <v>437</v>
      </c>
      <c r="C487" s="5" t="s">
        <v>87</v>
      </c>
      <c r="D487" s="5">
        <v>10</v>
      </c>
      <c r="E487" s="27"/>
      <c r="F487" s="6">
        <f>F484*D487/100</f>
        <v>226987.60255577025</v>
      </c>
    </row>
    <row r="488" spans="1:6" s="15" customFormat="1" ht="12.75" customHeight="1">
      <c r="A488" s="59" t="s">
        <v>160</v>
      </c>
      <c r="B488" s="60" t="s">
        <v>438</v>
      </c>
      <c r="C488" s="5" t="s">
        <v>87</v>
      </c>
      <c r="D488" s="5">
        <v>10</v>
      </c>
      <c r="E488" s="27"/>
      <c r="F488" s="6">
        <f>F485*D488/100</f>
        <v>32462.526003736002</v>
      </c>
    </row>
    <row r="489" spans="1:6" s="15" customFormat="1" ht="12.75" customHeight="1">
      <c r="A489" s="7"/>
      <c r="B489" s="8"/>
      <c r="C489" s="9"/>
      <c r="D489" s="9"/>
      <c r="E489" s="27"/>
      <c r="F489" s="6"/>
    </row>
    <row r="490" spans="1:6" s="15" customFormat="1" ht="12.75" customHeight="1">
      <c r="A490" s="56" t="s">
        <v>161</v>
      </c>
      <c r="B490" s="58" t="s">
        <v>162</v>
      </c>
      <c r="C490" s="5" t="s">
        <v>11</v>
      </c>
      <c r="D490" s="5"/>
      <c r="E490" s="27"/>
      <c r="F490" s="6">
        <f>SUM(F491,F496,F501,F506,F511,F516)</f>
        <v>2663997.6</v>
      </c>
    </row>
    <row r="491" spans="1:6" s="15" customFormat="1" ht="12.75" customHeight="1">
      <c r="A491" s="7" t="s">
        <v>163</v>
      </c>
      <c r="B491" s="75" t="s">
        <v>319</v>
      </c>
      <c r="C491" s="5" t="s">
        <v>11</v>
      </c>
      <c r="D491" s="26"/>
      <c r="E491" s="27"/>
      <c r="F491" s="6">
        <f>SUM(F492:F495)</f>
        <v>1201464</v>
      </c>
    </row>
    <row r="492" spans="1:8" s="15" customFormat="1" ht="12.75" customHeight="1">
      <c r="A492" s="7" t="s">
        <v>164</v>
      </c>
      <c r="B492" s="8" t="s">
        <v>165</v>
      </c>
      <c r="C492" s="5" t="s">
        <v>113</v>
      </c>
      <c r="D492" s="26">
        <v>44</v>
      </c>
      <c r="E492" s="27">
        <v>22200000</v>
      </c>
      <c r="F492" s="6">
        <f>D492*E492/1000</f>
        <v>976800</v>
      </c>
      <c r="H492" s="118"/>
    </row>
    <row r="493" spans="1:6" s="15" customFormat="1" ht="12.75" customHeight="1">
      <c r="A493" s="7" t="s">
        <v>166</v>
      </c>
      <c r="B493" s="8" t="s">
        <v>114</v>
      </c>
      <c r="C493" s="5" t="s">
        <v>11</v>
      </c>
      <c r="D493" s="26"/>
      <c r="E493" s="27"/>
      <c r="F493" s="6">
        <f>0.08*F492</f>
        <v>78144</v>
      </c>
    </row>
    <row r="494" spans="1:6" s="15" customFormat="1" ht="12.75" customHeight="1">
      <c r="A494" s="7" t="s">
        <v>167</v>
      </c>
      <c r="B494" s="8" t="s">
        <v>115</v>
      </c>
      <c r="C494" s="5" t="s">
        <v>11</v>
      </c>
      <c r="D494" s="26"/>
      <c r="E494" s="27"/>
      <c r="F494" s="6">
        <f>F492*0.15</f>
        <v>146520</v>
      </c>
    </row>
    <row r="495" spans="1:6" s="15" customFormat="1" ht="12.75" customHeight="1">
      <c r="A495" s="7" t="s">
        <v>168</v>
      </c>
      <c r="B495" s="8" t="s">
        <v>320</v>
      </c>
      <c r="C495" s="5" t="s">
        <v>11</v>
      </c>
      <c r="D495" s="26"/>
      <c r="E495" s="27"/>
      <c r="F495" s="6"/>
    </row>
    <row r="496" spans="1:6" s="15" customFormat="1" ht="12.75" customHeight="1">
      <c r="A496" s="7" t="s">
        <v>270</v>
      </c>
      <c r="B496" s="75" t="s">
        <v>656</v>
      </c>
      <c r="C496" s="5" t="s">
        <v>11</v>
      </c>
      <c r="D496" s="26"/>
      <c r="E496" s="27"/>
      <c r="F496" s="6">
        <f>SUM(F497:F500)</f>
        <v>19000</v>
      </c>
    </row>
    <row r="497" spans="1:6" s="15" customFormat="1" ht="12.75" customHeight="1">
      <c r="A497" s="7" t="s">
        <v>271</v>
      </c>
      <c r="B497" s="8" t="s">
        <v>112</v>
      </c>
      <c r="C497" s="9" t="s">
        <v>113</v>
      </c>
      <c r="D497" s="108">
        <v>8</v>
      </c>
      <c r="E497" s="27">
        <v>1500000</v>
      </c>
      <c r="F497" s="6">
        <f>D497*E497/1000</f>
        <v>12000</v>
      </c>
    </row>
    <row r="498" spans="1:6" s="15" customFormat="1" ht="12.75" customHeight="1">
      <c r="A498" s="7" t="s">
        <v>272</v>
      </c>
      <c r="B498" s="8" t="s">
        <v>114</v>
      </c>
      <c r="C498" s="9" t="s">
        <v>11</v>
      </c>
      <c r="D498" s="26"/>
      <c r="E498" s="27"/>
      <c r="F498" s="6">
        <f>F497*0.08</f>
        <v>960</v>
      </c>
    </row>
    <row r="499" spans="1:6" s="15" customFormat="1" ht="12.75" customHeight="1">
      <c r="A499" s="7" t="s">
        <v>273</v>
      </c>
      <c r="B499" s="8" t="s">
        <v>115</v>
      </c>
      <c r="C499" s="9" t="s">
        <v>11</v>
      </c>
      <c r="D499" s="26"/>
      <c r="E499" s="27"/>
      <c r="F499" s="6">
        <f>F497*0.1</f>
        <v>1200</v>
      </c>
    </row>
    <row r="500" spans="1:6" s="15" customFormat="1" ht="12.75" customHeight="1">
      <c r="A500" s="7" t="s">
        <v>274</v>
      </c>
      <c r="B500" s="8" t="s">
        <v>424</v>
      </c>
      <c r="C500" s="5" t="s">
        <v>113</v>
      </c>
      <c r="D500" s="26">
        <v>44</v>
      </c>
      <c r="E500" s="27">
        <v>110000</v>
      </c>
      <c r="F500" s="6">
        <f>D500*E500/1000</f>
        <v>4840</v>
      </c>
    </row>
    <row r="501" spans="1:6" s="15" customFormat="1" ht="12.75" customHeight="1">
      <c r="A501" s="7" t="s">
        <v>425</v>
      </c>
      <c r="B501" s="8" t="s">
        <v>659</v>
      </c>
      <c r="C501" s="5"/>
      <c r="D501" s="26"/>
      <c r="E501" s="27"/>
      <c r="F501" s="6">
        <f>SUM(F502:F505)</f>
        <v>221672</v>
      </c>
    </row>
    <row r="502" spans="1:6" s="15" customFormat="1" ht="12.75" customHeight="1">
      <c r="A502" s="7" t="s">
        <v>426</v>
      </c>
      <c r="B502" s="8" t="s">
        <v>112</v>
      </c>
      <c r="C502" s="5" t="s">
        <v>113</v>
      </c>
      <c r="D502" s="26">
        <v>44</v>
      </c>
      <c r="E502" s="27">
        <v>4100000</v>
      </c>
      <c r="F502" s="6">
        <f>D502*E502/1000</f>
        <v>180400</v>
      </c>
    </row>
    <row r="503" spans="1:6" s="15" customFormat="1" ht="12.75" customHeight="1">
      <c r="A503" s="7" t="s">
        <v>427</v>
      </c>
      <c r="B503" s="8" t="s">
        <v>114</v>
      </c>
      <c r="C503" s="5" t="s">
        <v>11</v>
      </c>
      <c r="D503" s="26"/>
      <c r="E503" s="27"/>
      <c r="F503" s="6">
        <f>F502*0.08</f>
        <v>14432</v>
      </c>
    </row>
    <row r="504" spans="1:6" s="15" customFormat="1" ht="12.75" customHeight="1">
      <c r="A504" s="7" t="s">
        <v>428</v>
      </c>
      <c r="B504" s="8" t="s">
        <v>115</v>
      </c>
      <c r="C504" s="5" t="s">
        <v>11</v>
      </c>
      <c r="D504" s="26"/>
      <c r="E504" s="27"/>
      <c r="F504" s="6">
        <f>F502*0.1</f>
        <v>18040</v>
      </c>
    </row>
    <row r="505" spans="1:6" s="15" customFormat="1" ht="12.75" customHeight="1">
      <c r="A505" s="7" t="s">
        <v>429</v>
      </c>
      <c r="B505" s="8" t="s">
        <v>424</v>
      </c>
      <c r="C505" s="5" t="s">
        <v>113</v>
      </c>
      <c r="D505" s="26">
        <v>44</v>
      </c>
      <c r="E505" s="27">
        <v>200000</v>
      </c>
      <c r="F505" s="6">
        <f>D505*E505/1000</f>
        <v>8800</v>
      </c>
    </row>
    <row r="506" spans="1:6" s="15" customFormat="1" ht="12.75" customHeight="1">
      <c r="A506" s="7" t="s">
        <v>275</v>
      </c>
      <c r="B506" s="8" t="s">
        <v>658</v>
      </c>
      <c r="C506" s="5" t="s">
        <v>11</v>
      </c>
      <c r="D506" s="26"/>
      <c r="E506" s="70"/>
      <c r="F506" s="6">
        <f>SUM(F507:F510)</f>
        <v>5520</v>
      </c>
    </row>
    <row r="507" spans="1:6" s="15" customFormat="1" ht="12.75" customHeight="1">
      <c r="A507" s="7" t="s">
        <v>276</v>
      </c>
      <c r="B507" s="8" t="s">
        <v>112</v>
      </c>
      <c r="C507" s="9" t="s">
        <v>113</v>
      </c>
      <c r="D507" s="26">
        <v>2</v>
      </c>
      <c r="E507" s="96">
        <v>2300000</v>
      </c>
      <c r="F507" s="6">
        <f>D507*E507/1000</f>
        <v>4600</v>
      </c>
    </row>
    <row r="508" spans="1:6" s="15" customFormat="1" ht="12.75" customHeight="1">
      <c r="A508" s="7" t="s">
        <v>277</v>
      </c>
      <c r="B508" s="8" t="s">
        <v>114</v>
      </c>
      <c r="C508" s="9" t="s">
        <v>11</v>
      </c>
      <c r="D508" s="26" t="s">
        <v>443</v>
      </c>
      <c r="E508" s="27"/>
      <c r="F508" s="6">
        <f>F507*0.08</f>
        <v>368</v>
      </c>
    </row>
    <row r="509" spans="1:6" s="15" customFormat="1" ht="12.75" customHeight="1">
      <c r="A509" s="7" t="s">
        <v>278</v>
      </c>
      <c r="B509" s="8" t="s">
        <v>115</v>
      </c>
      <c r="C509" s="9" t="s">
        <v>11</v>
      </c>
      <c r="D509" s="26"/>
      <c r="E509" s="27"/>
      <c r="F509" s="6">
        <f>F507*0.12</f>
        <v>552</v>
      </c>
    </row>
    <row r="510" spans="1:6" s="15" customFormat="1" ht="12.75" customHeight="1">
      <c r="A510" s="7" t="s">
        <v>279</v>
      </c>
      <c r="B510" s="8" t="s">
        <v>321</v>
      </c>
      <c r="C510" s="5" t="s">
        <v>11</v>
      </c>
      <c r="D510" s="26"/>
      <c r="E510" s="27"/>
      <c r="F510" s="6"/>
    </row>
    <row r="511" spans="1:6" s="15" customFormat="1" ht="12.75" customHeight="1">
      <c r="A511" s="7" t="s">
        <v>170</v>
      </c>
      <c r="B511" s="8" t="s">
        <v>171</v>
      </c>
      <c r="C511" s="5" t="s">
        <v>11</v>
      </c>
      <c r="D511" s="26"/>
      <c r="E511" s="27"/>
      <c r="F511" s="6">
        <f>SUM(F512:F515)</f>
        <v>974160</v>
      </c>
    </row>
    <row r="512" spans="1:6" s="15" customFormat="1" ht="12.75" customHeight="1">
      <c r="A512" s="7" t="s">
        <v>172</v>
      </c>
      <c r="B512" s="8" t="s">
        <v>112</v>
      </c>
      <c r="C512" s="9" t="s">
        <v>113</v>
      </c>
      <c r="D512" s="26">
        <v>44</v>
      </c>
      <c r="E512" s="27">
        <v>18000000</v>
      </c>
      <c r="F512" s="6">
        <f>(D512*E512)/1000</f>
        <v>792000</v>
      </c>
    </row>
    <row r="513" spans="1:6" ht="12.75" customHeight="1">
      <c r="A513" s="7" t="s">
        <v>173</v>
      </c>
      <c r="B513" s="8" t="s">
        <v>114</v>
      </c>
      <c r="C513" s="9" t="s">
        <v>11</v>
      </c>
      <c r="D513" s="26"/>
      <c r="E513" s="27"/>
      <c r="F513" s="6">
        <f>F512*0.08</f>
        <v>63360</v>
      </c>
    </row>
    <row r="514" spans="1:6" ht="12.75" customHeight="1">
      <c r="A514" s="7" t="s">
        <v>174</v>
      </c>
      <c r="B514" s="8" t="s">
        <v>115</v>
      </c>
      <c r="C514" s="9" t="s">
        <v>11</v>
      </c>
      <c r="D514" s="26"/>
      <c r="E514" s="27"/>
      <c r="F514" s="6">
        <f>F512*0.15</f>
        <v>118800</v>
      </c>
    </row>
    <row r="515" spans="1:6" s="15" customFormat="1" ht="12.75" customHeight="1">
      <c r="A515" s="7" t="s">
        <v>175</v>
      </c>
      <c r="B515" s="8" t="s">
        <v>169</v>
      </c>
      <c r="C515" s="5" t="s">
        <v>87</v>
      </c>
      <c r="D515" s="26"/>
      <c r="E515" s="73"/>
      <c r="F515" s="6">
        <f>((F512+F513+F514)*D515)/100</f>
        <v>0</v>
      </c>
    </row>
    <row r="516" spans="1:6" s="15" customFormat="1" ht="12.75" customHeight="1">
      <c r="A516" s="112" t="s">
        <v>176</v>
      </c>
      <c r="B516" s="111" t="s">
        <v>657</v>
      </c>
      <c r="C516" s="5" t="s">
        <v>87</v>
      </c>
      <c r="D516" s="26">
        <v>10</v>
      </c>
      <c r="E516" s="27"/>
      <c r="F516" s="6">
        <f>(SUM(F496,F501,F506,F511,F491)*D516/100)</f>
        <v>242181.6</v>
      </c>
    </row>
    <row r="517" spans="1:6" s="15" customFormat="1" ht="12.75" customHeight="1">
      <c r="A517" s="3"/>
      <c r="B517" s="4"/>
      <c r="C517" s="5"/>
      <c r="D517" s="26"/>
      <c r="E517" s="27"/>
      <c r="F517" s="6"/>
    </row>
    <row r="518" spans="1:6" s="15" customFormat="1" ht="12.75" customHeight="1">
      <c r="A518" s="56" t="s">
        <v>177</v>
      </c>
      <c r="B518" s="58" t="s">
        <v>178</v>
      </c>
      <c r="C518" s="9" t="s">
        <v>11</v>
      </c>
      <c r="D518" s="9"/>
      <c r="E518" s="27"/>
      <c r="F518" s="6">
        <f>SUM(F519:F523)</f>
        <v>319287.3643311038</v>
      </c>
    </row>
    <row r="519" spans="1:6" ht="12.75" customHeight="1">
      <c r="A519" s="7" t="s">
        <v>179</v>
      </c>
      <c r="B519" s="8" t="s">
        <v>112</v>
      </c>
      <c r="C519" s="5" t="s">
        <v>87</v>
      </c>
      <c r="D519" s="5"/>
      <c r="E519" s="55"/>
      <c r="F519" s="6">
        <f>(1.1*170000*75/71.5*1.05)/46*44</f>
        <v>197006.68896321076</v>
      </c>
    </row>
    <row r="520" spans="1:6" ht="12.75" customHeight="1">
      <c r="A520" s="7" t="s">
        <v>180</v>
      </c>
      <c r="B520" s="8" t="s">
        <v>114</v>
      </c>
      <c r="C520" s="9" t="s">
        <v>11</v>
      </c>
      <c r="D520" s="9"/>
      <c r="E520" s="27"/>
      <c r="F520" s="6">
        <f>0.06*F519</f>
        <v>11820.401337792646</v>
      </c>
    </row>
    <row r="521" spans="1:6" ht="12.75" customHeight="1">
      <c r="A521" s="7" t="s">
        <v>181</v>
      </c>
      <c r="B521" s="8" t="s">
        <v>115</v>
      </c>
      <c r="C521" s="9" t="s">
        <v>11</v>
      </c>
      <c r="D521" s="9"/>
      <c r="E521" s="27"/>
      <c r="F521" s="6">
        <v>81434.15</v>
      </c>
    </row>
    <row r="522" spans="1:6" s="15" customFormat="1" ht="12.75" customHeight="1">
      <c r="A522" s="7" t="s">
        <v>182</v>
      </c>
      <c r="B522" s="8" t="s">
        <v>169</v>
      </c>
      <c r="C522" s="5" t="s">
        <v>11</v>
      </c>
      <c r="D522" s="5"/>
      <c r="E522" s="27"/>
      <c r="F522" s="6"/>
    </row>
    <row r="523" spans="1:6" s="15" customFormat="1" ht="12.75" customHeight="1">
      <c r="A523" s="59" t="s">
        <v>183</v>
      </c>
      <c r="B523" s="111" t="s">
        <v>442</v>
      </c>
      <c r="C523" s="9" t="s">
        <v>87</v>
      </c>
      <c r="D523" s="9">
        <v>10</v>
      </c>
      <c r="E523" s="27"/>
      <c r="F523" s="6">
        <f>(SUM(F519,F520,F521,F522)*D523/100)</f>
        <v>29026.124030100345</v>
      </c>
    </row>
    <row r="524" spans="1:6" s="15" customFormat="1" ht="12.75" customHeight="1">
      <c r="A524" s="3"/>
      <c r="B524" s="4"/>
      <c r="C524" s="5"/>
      <c r="D524" s="5"/>
      <c r="E524" s="27"/>
      <c r="F524" s="6"/>
    </row>
    <row r="525" spans="1:6" s="15" customFormat="1" ht="12.75" customHeight="1">
      <c r="A525" s="56" t="s">
        <v>184</v>
      </c>
      <c r="B525" s="58" t="s">
        <v>185</v>
      </c>
      <c r="C525" s="5" t="s">
        <v>11</v>
      </c>
      <c r="D525" s="5"/>
      <c r="E525" s="27"/>
      <c r="F525" s="6">
        <f>SUM(F526,F531,F536,F541,F548,F546:F547)</f>
        <v>342800.5675</v>
      </c>
    </row>
    <row r="526" spans="1:6" s="15" customFormat="1" ht="12.75" customHeight="1">
      <c r="A526" s="7" t="s">
        <v>186</v>
      </c>
      <c r="B526" s="8" t="s">
        <v>430</v>
      </c>
      <c r="C526" s="5" t="s">
        <v>11</v>
      </c>
      <c r="D526" s="5"/>
      <c r="E526" s="27"/>
      <c r="F526" s="6">
        <f>SUM(F527:F530)</f>
        <v>8040</v>
      </c>
    </row>
    <row r="527" spans="1:8" s="15" customFormat="1" ht="12.75" customHeight="1">
      <c r="A527" s="7" t="s">
        <v>187</v>
      </c>
      <c r="B527" s="8" t="s">
        <v>112</v>
      </c>
      <c r="C527" s="9" t="s">
        <v>113</v>
      </c>
      <c r="D527" s="26">
        <v>2</v>
      </c>
      <c r="E527" s="27">
        <v>3000000</v>
      </c>
      <c r="F527" s="6">
        <f>D527*E527/1000</f>
        <v>6000</v>
      </c>
      <c r="H527" s="118"/>
    </row>
    <row r="528" spans="1:8" s="15" customFormat="1" ht="12.75" customHeight="1">
      <c r="A528" s="7" t="s">
        <v>188</v>
      </c>
      <c r="B528" s="8" t="s">
        <v>114</v>
      </c>
      <c r="C528" s="9" t="s">
        <v>11</v>
      </c>
      <c r="D528" s="26"/>
      <c r="E528" s="27"/>
      <c r="F528" s="6">
        <f>F527*0.08</f>
        <v>480</v>
      </c>
      <c r="H528" s="118"/>
    </row>
    <row r="529" spans="1:6" s="15" customFormat="1" ht="12.75" customHeight="1">
      <c r="A529" s="7" t="s">
        <v>189</v>
      </c>
      <c r="B529" s="8" t="s">
        <v>115</v>
      </c>
      <c r="C529" s="9" t="s">
        <v>11</v>
      </c>
      <c r="D529" s="26"/>
      <c r="E529" s="27"/>
      <c r="F529" s="6">
        <f>F527*0.12</f>
        <v>720</v>
      </c>
    </row>
    <row r="530" spans="1:6" s="15" customFormat="1" ht="12.75" customHeight="1">
      <c r="A530" s="7" t="s">
        <v>190</v>
      </c>
      <c r="B530" s="8" t="s">
        <v>169</v>
      </c>
      <c r="C530" s="5" t="s">
        <v>11</v>
      </c>
      <c r="D530" s="26"/>
      <c r="E530" s="27"/>
      <c r="F530" s="6">
        <f>0.14*F527</f>
        <v>840.0000000000001</v>
      </c>
    </row>
    <row r="531" spans="1:6" s="15" customFormat="1" ht="12.75" customHeight="1">
      <c r="A531" s="7" t="s">
        <v>388</v>
      </c>
      <c r="B531" s="8" t="s">
        <v>660</v>
      </c>
      <c r="C531" s="5" t="s">
        <v>11</v>
      </c>
      <c r="D531" s="26"/>
      <c r="E531" s="27"/>
      <c r="F531" s="6">
        <f>SUM(F532:F535)</f>
        <v>912</v>
      </c>
    </row>
    <row r="532" spans="1:6" s="15" customFormat="1" ht="12.75" customHeight="1">
      <c r="A532" s="7" t="s">
        <v>389</v>
      </c>
      <c r="B532" s="8" t="s">
        <v>112</v>
      </c>
      <c r="C532" s="9" t="s">
        <v>113</v>
      </c>
      <c r="D532" s="91">
        <v>1</v>
      </c>
      <c r="E532" s="27">
        <v>760000</v>
      </c>
      <c r="F532" s="6">
        <f>D532*E532/1000</f>
        <v>760</v>
      </c>
    </row>
    <row r="533" spans="1:6" s="15" customFormat="1" ht="12.75" customHeight="1">
      <c r="A533" s="7" t="s">
        <v>390</v>
      </c>
      <c r="B533" s="8" t="s">
        <v>114</v>
      </c>
      <c r="C533" s="9" t="s">
        <v>11</v>
      </c>
      <c r="D533" s="26"/>
      <c r="E533" s="27"/>
      <c r="F533" s="6">
        <f>F532*0.08</f>
        <v>60.800000000000004</v>
      </c>
    </row>
    <row r="534" spans="1:6" s="15" customFormat="1" ht="12.75" customHeight="1">
      <c r="A534" s="7" t="s">
        <v>391</v>
      </c>
      <c r="B534" s="8" t="s">
        <v>115</v>
      </c>
      <c r="C534" s="9" t="s">
        <v>11</v>
      </c>
      <c r="D534" s="26"/>
      <c r="E534" s="27"/>
      <c r="F534" s="6">
        <f>F532*0.12</f>
        <v>91.2</v>
      </c>
    </row>
    <row r="535" spans="1:6" s="15" customFormat="1" ht="12.75" customHeight="1">
      <c r="A535" s="7" t="s">
        <v>392</v>
      </c>
      <c r="B535" s="8" t="s">
        <v>169</v>
      </c>
      <c r="C535" s="5" t="s">
        <v>11</v>
      </c>
      <c r="D535" s="26"/>
      <c r="E535" s="27"/>
      <c r="F535" s="6"/>
    </row>
    <row r="536" spans="1:6" s="15" customFormat="1" ht="12.75" customHeight="1">
      <c r="A536" s="7" t="s">
        <v>431</v>
      </c>
      <c r="B536" s="8" t="s">
        <v>646</v>
      </c>
      <c r="C536" s="5" t="s">
        <v>11</v>
      </c>
      <c r="D536" s="26"/>
      <c r="E536" s="27"/>
      <c r="F536" s="6">
        <f>SUM(F537:F540)</f>
        <v>3497.4</v>
      </c>
    </row>
    <row r="537" spans="1:6" s="15" customFormat="1" ht="12.75" customHeight="1">
      <c r="A537" s="7" t="s">
        <v>432</v>
      </c>
      <c r="B537" s="8" t="s">
        <v>112</v>
      </c>
      <c r="C537" s="5" t="s">
        <v>113</v>
      </c>
      <c r="D537" s="26">
        <v>3</v>
      </c>
      <c r="E537" s="27">
        <v>870000</v>
      </c>
      <c r="F537" s="6">
        <f>D537*E537/1000</f>
        <v>2610</v>
      </c>
    </row>
    <row r="538" spans="1:6" s="15" customFormat="1" ht="12.75" customHeight="1">
      <c r="A538" s="7" t="s">
        <v>433</v>
      </c>
      <c r="B538" s="8" t="s">
        <v>114</v>
      </c>
      <c r="C538" s="5" t="s">
        <v>11</v>
      </c>
      <c r="D538" s="26"/>
      <c r="E538" s="27"/>
      <c r="F538" s="6">
        <f>F537*0.08</f>
        <v>208.8</v>
      </c>
    </row>
    <row r="539" spans="1:6" s="15" customFormat="1" ht="12.75" customHeight="1">
      <c r="A539" s="7" t="s">
        <v>434</v>
      </c>
      <c r="B539" s="8" t="s">
        <v>115</v>
      </c>
      <c r="C539" s="5" t="s">
        <v>11</v>
      </c>
      <c r="D539" s="26"/>
      <c r="E539" s="27"/>
      <c r="F539" s="6">
        <f>F537*0.12</f>
        <v>313.2</v>
      </c>
    </row>
    <row r="540" spans="1:6" s="15" customFormat="1" ht="12.75" customHeight="1">
      <c r="A540" s="7" t="s">
        <v>435</v>
      </c>
      <c r="B540" s="8" t="s">
        <v>169</v>
      </c>
      <c r="C540" s="5" t="s">
        <v>11</v>
      </c>
      <c r="D540" s="26"/>
      <c r="E540" s="27"/>
      <c r="F540" s="6">
        <f>F537*0.14</f>
        <v>365.40000000000003</v>
      </c>
    </row>
    <row r="541" spans="1:6" s="15" customFormat="1" ht="12.75" customHeight="1">
      <c r="A541" s="7" t="s">
        <v>191</v>
      </c>
      <c r="B541" s="8" t="s">
        <v>322</v>
      </c>
      <c r="C541" s="5" t="s">
        <v>11</v>
      </c>
      <c r="D541" s="26"/>
      <c r="E541" s="27"/>
      <c r="F541" s="6">
        <f>SUM(F542:F545)</f>
        <v>270600</v>
      </c>
    </row>
    <row r="542" spans="1:6" s="15" customFormat="1" ht="12.75" customHeight="1">
      <c r="A542" s="7" t="s">
        <v>192</v>
      </c>
      <c r="B542" s="8" t="s">
        <v>112</v>
      </c>
      <c r="C542" s="5" t="s">
        <v>113</v>
      </c>
      <c r="D542" s="26">
        <v>1</v>
      </c>
      <c r="E542" s="55">
        <v>220000000</v>
      </c>
      <c r="F542" s="6">
        <f>D542*E542/1000</f>
        <v>220000</v>
      </c>
    </row>
    <row r="543" spans="1:6" s="15" customFormat="1" ht="12.75" customHeight="1">
      <c r="A543" s="7" t="s">
        <v>193</v>
      </c>
      <c r="B543" s="8" t="s">
        <v>114</v>
      </c>
      <c r="C543" s="9" t="s">
        <v>11</v>
      </c>
      <c r="D543" s="26"/>
      <c r="E543" s="55"/>
      <c r="F543" s="6">
        <f>0.08*F542</f>
        <v>17600</v>
      </c>
    </row>
    <row r="544" spans="1:6" s="15" customFormat="1" ht="12.75" customHeight="1">
      <c r="A544" s="7" t="s">
        <v>194</v>
      </c>
      <c r="B544" s="8" t="s">
        <v>115</v>
      </c>
      <c r="C544" s="9" t="s">
        <v>11</v>
      </c>
      <c r="D544" s="26"/>
      <c r="E544" s="55"/>
      <c r="F544" s="6">
        <f>F542*0.15</f>
        <v>33000</v>
      </c>
    </row>
    <row r="545" spans="1:6" s="15" customFormat="1" ht="12.75" customHeight="1">
      <c r="A545" s="7" t="s">
        <v>195</v>
      </c>
      <c r="B545" s="8" t="s">
        <v>169</v>
      </c>
      <c r="C545" s="5" t="s">
        <v>87</v>
      </c>
      <c r="D545" s="26"/>
      <c r="E545" s="27"/>
      <c r="F545" s="6">
        <f>(D545*(F542+F543+F544)/100)</f>
        <v>0</v>
      </c>
    </row>
    <row r="546" spans="1:6" ht="12.75" customHeight="1">
      <c r="A546" s="7" t="s">
        <v>884</v>
      </c>
      <c r="B546" s="8" t="s">
        <v>883</v>
      </c>
      <c r="C546" s="5" t="s">
        <v>11</v>
      </c>
      <c r="D546" s="26"/>
      <c r="E546" s="27"/>
      <c r="F546" s="6">
        <v>10498.25</v>
      </c>
    </row>
    <row r="547" spans="1:6" ht="12.75" customHeight="1">
      <c r="A547" s="7" t="s">
        <v>885</v>
      </c>
      <c r="B547" s="8" t="s">
        <v>878</v>
      </c>
      <c r="C547" s="5" t="s">
        <v>11</v>
      </c>
      <c r="D547" s="26"/>
      <c r="E547" s="27"/>
      <c r="F547" s="6">
        <v>4539.8</v>
      </c>
    </row>
    <row r="548" spans="1:6" ht="12.75" customHeight="1">
      <c r="A548" s="59" t="s">
        <v>196</v>
      </c>
      <c r="B548" s="110" t="s">
        <v>441</v>
      </c>
      <c r="C548" s="9" t="s">
        <v>87</v>
      </c>
      <c r="D548" s="26">
        <v>15</v>
      </c>
      <c r="E548" s="27"/>
      <c r="F548" s="132">
        <f>0.15*(F526+F531+F536+F546+F547)+0.15*F541</f>
        <v>44713.1175</v>
      </c>
    </row>
    <row r="549" spans="1:6" ht="12.75" customHeight="1">
      <c r="A549" s="3"/>
      <c r="B549" s="4"/>
      <c r="C549" s="5"/>
      <c r="D549" s="26"/>
      <c r="E549" s="27"/>
      <c r="F549" s="6"/>
    </row>
    <row r="550" spans="1:6" ht="12.75" customHeight="1">
      <c r="A550" s="56" t="s">
        <v>197</v>
      </c>
      <c r="B550" s="58" t="s">
        <v>198</v>
      </c>
      <c r="C550" s="5" t="s">
        <v>11</v>
      </c>
      <c r="D550" s="5"/>
      <c r="E550" s="27"/>
      <c r="F550" s="6">
        <f>SUM(F551:F555)</f>
        <v>28510.947211999995</v>
      </c>
    </row>
    <row r="551" spans="1:6" ht="12.75" customHeight="1">
      <c r="A551" s="7" t="s">
        <v>199</v>
      </c>
      <c r="B551" s="8" t="s">
        <v>978</v>
      </c>
      <c r="C551" s="9" t="s">
        <v>42</v>
      </c>
      <c r="D551" s="26">
        <v>8</v>
      </c>
      <c r="E551" s="27">
        <v>797567.44</v>
      </c>
      <c r="F551" s="6">
        <f>(D551*E551)/1000</f>
        <v>6380.539519999999</v>
      </c>
    </row>
    <row r="552" spans="1:6" ht="12.75" customHeight="1">
      <c r="A552" s="7" t="s">
        <v>200</v>
      </c>
      <c r="B552" s="8" t="s">
        <v>44</v>
      </c>
      <c r="C552" s="9" t="s">
        <v>42</v>
      </c>
      <c r="D552" s="26"/>
      <c r="E552" s="27"/>
      <c r="F552" s="6">
        <f>(D552*E552)/1000</f>
        <v>0</v>
      </c>
    </row>
    <row r="553" spans="1:6" ht="12.75" customHeight="1">
      <c r="A553" s="7" t="s">
        <v>201</v>
      </c>
      <c r="B553" s="8" t="s">
        <v>45</v>
      </c>
      <c r="C553" s="9" t="s">
        <v>46</v>
      </c>
      <c r="D553" s="26"/>
      <c r="E553" s="27"/>
      <c r="F553" s="6">
        <f>(D553*E553)/1000</f>
        <v>0</v>
      </c>
    </row>
    <row r="554" spans="1:6" ht="12.75" customHeight="1">
      <c r="A554" s="7" t="s">
        <v>202</v>
      </c>
      <c r="B554" s="8" t="s">
        <v>977</v>
      </c>
      <c r="C554" s="9" t="s">
        <v>11</v>
      </c>
      <c r="D554" s="26">
        <v>1</v>
      </c>
      <c r="E554" s="27">
        <v>19538503.4</v>
      </c>
      <c r="F554" s="6">
        <f>(D554*E554)/1000</f>
        <v>19538.503399999998</v>
      </c>
    </row>
    <row r="555" spans="1:6" ht="12.75" customHeight="1">
      <c r="A555" s="7" t="s">
        <v>203</v>
      </c>
      <c r="B555" s="8" t="s">
        <v>661</v>
      </c>
      <c r="C555" s="5" t="s">
        <v>87</v>
      </c>
      <c r="D555" s="26">
        <v>10</v>
      </c>
      <c r="E555" s="27"/>
      <c r="F555" s="6">
        <f>(SUM(F551:F554)*D555/100)</f>
        <v>2591.9042919999997</v>
      </c>
    </row>
    <row r="556" spans="1:6" ht="12.75" customHeight="1">
      <c r="A556" s="3"/>
      <c r="B556" s="4"/>
      <c r="C556" s="5"/>
      <c r="D556" s="26"/>
      <c r="E556" s="27"/>
      <c r="F556" s="6"/>
    </row>
    <row r="557" spans="1:6" ht="12.75" customHeight="1">
      <c r="A557" s="7"/>
      <c r="B557" s="8" t="s">
        <v>204</v>
      </c>
      <c r="C557" s="5" t="s">
        <v>157</v>
      </c>
      <c r="D557" s="26"/>
      <c r="E557" s="27"/>
      <c r="F557" s="30">
        <f>SUM(F16,F130,F166,F490,F518,F525,F550)</f>
        <v>7831268.257356105</v>
      </c>
    </row>
    <row r="558" spans="1:6" ht="12.75" customHeight="1">
      <c r="A558" s="3"/>
      <c r="B558" s="4"/>
      <c r="C558" s="5"/>
      <c r="D558" s="26"/>
      <c r="E558" s="27"/>
      <c r="F558" s="6"/>
    </row>
    <row r="559" spans="1:6" ht="12.75" customHeight="1">
      <c r="A559" s="56" t="s">
        <v>205</v>
      </c>
      <c r="B559" s="58" t="s">
        <v>206</v>
      </c>
      <c r="C559" s="9" t="s">
        <v>11</v>
      </c>
      <c r="D559" s="9"/>
      <c r="E559" s="27"/>
      <c r="F559" s="6">
        <f>SUM(F560,F563,F569)</f>
        <v>1468808.131231879</v>
      </c>
    </row>
    <row r="560" spans="1:6" ht="12.75" customHeight="1">
      <c r="A560" s="59" t="s">
        <v>207</v>
      </c>
      <c r="B560" s="60" t="s">
        <v>208</v>
      </c>
      <c r="C560" s="9" t="s">
        <v>11</v>
      </c>
      <c r="D560" s="76"/>
      <c r="E560" s="27"/>
      <c r="F560" s="6">
        <f>SUM(F561:F562)</f>
        <v>747935</v>
      </c>
    </row>
    <row r="561" spans="1:6" ht="12.75" customHeight="1">
      <c r="A561" s="7" t="s">
        <v>209</v>
      </c>
      <c r="B561" s="8" t="s">
        <v>210</v>
      </c>
      <c r="C561" s="9" t="s">
        <v>11</v>
      </c>
      <c r="D561" s="76"/>
      <c r="E561" s="27"/>
      <c r="F561" s="6">
        <v>548339</v>
      </c>
    </row>
    <row r="562" spans="1:6" ht="12.75" customHeight="1">
      <c r="A562" s="7" t="s">
        <v>211</v>
      </c>
      <c r="B562" s="8" t="s">
        <v>212</v>
      </c>
      <c r="C562" s="9" t="s">
        <v>11</v>
      </c>
      <c r="D562" s="76"/>
      <c r="E562" s="27"/>
      <c r="F562" s="6">
        <v>199596</v>
      </c>
    </row>
    <row r="563" spans="1:6" ht="12.75" customHeight="1">
      <c r="A563" s="59" t="s">
        <v>213</v>
      </c>
      <c r="B563" s="60" t="s">
        <v>214</v>
      </c>
      <c r="C563" s="9" t="s">
        <v>11</v>
      </c>
      <c r="D563" s="76"/>
      <c r="E563" s="27"/>
      <c r="F563" s="6">
        <f>SUM(F564,F568)</f>
        <v>587345.119301708</v>
      </c>
    </row>
    <row r="564" spans="1:6" ht="12.75" customHeight="1">
      <c r="A564" s="7" t="s">
        <v>215</v>
      </c>
      <c r="B564" s="8" t="s">
        <v>436</v>
      </c>
      <c r="C564" s="9"/>
      <c r="D564" s="76"/>
      <c r="E564" s="27"/>
      <c r="F564" s="6">
        <f>SUM(F565:F567)</f>
        <v>391563.4128678053</v>
      </c>
    </row>
    <row r="565" spans="1:6" ht="12.75" customHeight="1">
      <c r="A565" s="7" t="s">
        <v>216</v>
      </c>
      <c r="B565" s="8" t="s">
        <v>979</v>
      </c>
      <c r="C565" s="9" t="s">
        <v>87</v>
      </c>
      <c r="D565" s="76">
        <v>4.5</v>
      </c>
      <c r="E565" s="27"/>
      <c r="F565" s="6">
        <f>F557*D565/100</f>
        <v>352407.07158102473</v>
      </c>
    </row>
    <row r="566" spans="1:6" ht="12.75" customHeight="1">
      <c r="A566" s="7" t="s">
        <v>217</v>
      </c>
      <c r="B566" s="8" t="s">
        <v>218</v>
      </c>
      <c r="C566" s="9" t="s">
        <v>87</v>
      </c>
      <c r="D566" s="76">
        <v>0.5</v>
      </c>
      <c r="E566" s="27"/>
      <c r="F566" s="6">
        <f>F557*D566/100</f>
        <v>39156.341286780524</v>
      </c>
    </row>
    <row r="567" spans="1:6" ht="12.75" customHeight="1">
      <c r="A567" s="7" t="s">
        <v>219</v>
      </c>
      <c r="B567" s="4" t="s">
        <v>980</v>
      </c>
      <c r="C567" s="9" t="s">
        <v>11</v>
      </c>
      <c r="D567" s="76"/>
      <c r="E567" s="27"/>
      <c r="F567" s="6">
        <v>0</v>
      </c>
    </row>
    <row r="568" spans="1:6" ht="12.75" customHeight="1">
      <c r="A568" s="7" t="s">
        <v>220</v>
      </c>
      <c r="B568" s="8" t="s">
        <v>221</v>
      </c>
      <c r="C568" s="9" t="s">
        <v>87</v>
      </c>
      <c r="D568" s="76">
        <v>2.5</v>
      </c>
      <c r="E568" s="27"/>
      <c r="F568" s="6">
        <f>F557*D568/100</f>
        <v>195781.70643390264</v>
      </c>
    </row>
    <row r="569" spans="1:6" ht="12.75" customHeight="1">
      <c r="A569" s="59" t="s">
        <v>222</v>
      </c>
      <c r="B569" s="60" t="s">
        <v>223</v>
      </c>
      <c r="C569" s="9" t="s">
        <v>87</v>
      </c>
      <c r="D569" s="76">
        <v>10</v>
      </c>
      <c r="E569" s="27"/>
      <c r="F569" s="6">
        <f>(SUM(F560,F563)*D569/100)</f>
        <v>133528.01193017082</v>
      </c>
    </row>
    <row r="570" spans="1:6" ht="12.75" customHeight="1">
      <c r="A570" s="3"/>
      <c r="B570" s="4"/>
      <c r="C570" s="5"/>
      <c r="D570" s="76"/>
      <c r="E570" s="27"/>
      <c r="F570" s="6"/>
    </row>
    <row r="571" spans="1:6" ht="12.75" customHeight="1">
      <c r="A571" s="7"/>
      <c r="B571" s="8" t="s">
        <v>224</v>
      </c>
      <c r="C571" s="5" t="s">
        <v>157</v>
      </c>
      <c r="D571" s="26"/>
      <c r="E571" s="27"/>
      <c r="F571" s="90">
        <f>SUM(F557,F559)</f>
        <v>9300076.388587985</v>
      </c>
    </row>
    <row r="572" spans="1:6" ht="12.75" customHeight="1">
      <c r="A572" s="7"/>
      <c r="B572" s="8"/>
      <c r="C572" s="5"/>
      <c r="D572" s="26"/>
      <c r="E572" s="27"/>
      <c r="F572" s="6"/>
    </row>
    <row r="573" spans="1:6" ht="12.75" customHeight="1">
      <c r="A573" s="56" t="s">
        <v>225</v>
      </c>
      <c r="B573" s="58" t="s">
        <v>226</v>
      </c>
      <c r="C573" s="5" t="s">
        <v>11</v>
      </c>
      <c r="D573" s="5"/>
      <c r="E573" s="27"/>
      <c r="F573" s="6">
        <v>950000</v>
      </c>
    </row>
    <row r="574" spans="1:6" ht="12.75" customHeight="1" thickBot="1">
      <c r="A574" s="81"/>
      <c r="B574" s="82"/>
      <c r="C574" s="83"/>
      <c r="D574" s="84"/>
      <c r="E574" s="85"/>
      <c r="F574" s="86"/>
    </row>
    <row r="575" spans="1:6" ht="12.75" customHeight="1" thickTop="1">
      <c r="A575" s="31"/>
      <c r="B575" s="32" t="s">
        <v>281</v>
      </c>
      <c r="C575" s="33"/>
      <c r="D575" s="34"/>
      <c r="E575" s="35"/>
      <c r="F575" s="36">
        <f>(SUM(F571,F573))</f>
        <v>10250076.388587985</v>
      </c>
    </row>
    <row r="576" spans="1:6" ht="14.25" customHeight="1">
      <c r="A576" s="37"/>
      <c r="B576" s="38" t="s">
        <v>282</v>
      </c>
      <c r="C576" s="39"/>
      <c r="D576" s="89"/>
      <c r="E576" s="41"/>
      <c r="F576" s="42">
        <f>F575/F9</f>
        <v>3360680.783143602</v>
      </c>
    </row>
    <row r="577" spans="1:6" ht="12.75" customHeight="1">
      <c r="A577" s="43"/>
      <c r="B577" s="38" t="s">
        <v>227</v>
      </c>
      <c r="C577" s="39"/>
      <c r="D577" s="40"/>
      <c r="E577" s="41"/>
      <c r="F577" s="42">
        <v>3300000</v>
      </c>
    </row>
    <row r="578" spans="1:9" s="15" customFormat="1" ht="12.75" customHeight="1">
      <c r="A578" s="48"/>
      <c r="B578" s="38" t="s">
        <v>283</v>
      </c>
      <c r="C578" s="49"/>
      <c r="D578" s="50"/>
      <c r="E578" s="51"/>
      <c r="F578" s="42">
        <f>F575*1000/F577</f>
        <v>3106.0837541175715</v>
      </c>
      <c r="I578" s="1"/>
    </row>
    <row r="579" spans="1:6" ht="12.75" customHeight="1" thickBot="1">
      <c r="A579" s="44"/>
      <c r="B579" s="52" t="s">
        <v>228</v>
      </c>
      <c r="C579" s="45"/>
      <c r="D579" s="46"/>
      <c r="E579" s="47"/>
      <c r="F579" s="53">
        <f>F576*1000/F577</f>
        <v>1018.3881161041218</v>
      </c>
    </row>
    <row r="580" spans="1:6" ht="12.75" customHeight="1" thickTop="1">
      <c r="A580" s="77"/>
      <c r="B580" s="77"/>
      <c r="C580" s="78"/>
      <c r="D580" s="79"/>
      <c r="E580" s="80"/>
      <c r="F580" s="74"/>
    </row>
    <row r="581" spans="1:6" ht="12.75" customHeight="1">
      <c r="A581" s="77"/>
      <c r="B581" s="77"/>
      <c r="C581" s="78"/>
      <c r="D581" s="79"/>
      <c r="E581" s="80"/>
      <c r="F581" s="74"/>
    </row>
    <row r="582" spans="1:6" ht="12.75" customHeight="1">
      <c r="A582" s="77"/>
      <c r="B582" s="54" t="s">
        <v>962</v>
      </c>
      <c r="C582" s="78"/>
      <c r="D582" s="79"/>
      <c r="E582" s="80" t="s">
        <v>966</v>
      </c>
      <c r="F582" s="74"/>
    </row>
    <row r="583" spans="1:6" ht="12.75" customHeight="1">
      <c r="A583" s="77"/>
      <c r="B583" s="54" t="s">
        <v>963</v>
      </c>
      <c r="C583" s="78"/>
      <c r="D583" s="79">
        <f>D278+D188+D192+D196+D200+D204+D208+D230+D234+D238+D242+D174+D178+D250+D258+D396+D411+D461+D476</f>
        <v>2213967</v>
      </c>
      <c r="E583" s="80">
        <f>D583+D594+D605+D617</f>
        <v>2307372</v>
      </c>
      <c r="F583" s="74"/>
    </row>
    <row r="584" spans="1:6" ht="12.75" customHeight="1">
      <c r="A584" s="77"/>
      <c r="B584" s="54" t="s">
        <v>964</v>
      </c>
      <c r="C584" s="78"/>
      <c r="D584" s="79">
        <f>D393+D408+D458+D473+D457+D472+D392+D407+D136+D423+D268+D135+D345+D422+D346+D394+D409</f>
        <v>34406685.22</v>
      </c>
      <c r="E584" s="80">
        <f>D584+D592+D603+D614+D615</f>
        <v>37284155.22</v>
      </c>
      <c r="F584" s="74"/>
    </row>
    <row r="585" spans="1:6" ht="12.75" customHeight="1">
      <c r="A585" s="77"/>
      <c r="B585" s="54" t="s">
        <v>965</v>
      </c>
      <c r="C585" s="78"/>
      <c r="D585" s="79">
        <f>D352+D140+D294+D274+D398+D413+D463+D478+D301+D320+D337+D144+D149+D154+D159+D298+D317+D334+D355+D429</f>
        <v>2360185.88</v>
      </c>
      <c r="E585" s="80">
        <f>D585+D596+D607+D619+D629</f>
        <v>2728891.4499999997</v>
      </c>
      <c r="F585" s="74"/>
    </row>
    <row r="586" spans="1:6" ht="12.75" customHeight="1">
      <c r="A586" s="77"/>
      <c r="B586" s="77"/>
      <c r="C586" s="78"/>
      <c r="D586" s="79"/>
      <c r="E586" s="80"/>
      <c r="F586" s="74"/>
    </row>
    <row r="587" spans="1:6" ht="12.75" customHeight="1" thickBot="1">
      <c r="A587" s="77"/>
      <c r="B587" s="77"/>
      <c r="C587" s="78"/>
      <c r="D587" s="79"/>
      <c r="E587" s="80"/>
      <c r="F587" s="74"/>
    </row>
    <row r="588" spans="1:6" ht="12.75" customHeight="1" thickTop="1">
      <c r="A588" s="115" t="s">
        <v>677</v>
      </c>
      <c r="B588" s="116" t="s">
        <v>675</v>
      </c>
      <c r="C588" s="133"/>
      <c r="D588" s="133"/>
      <c r="E588" s="133"/>
      <c r="F588" s="134">
        <f>F589+F600+F632+F611+F650+F651</f>
        <v>528245.664798016</v>
      </c>
    </row>
    <row r="589" spans="1:6" s="15" customFormat="1" ht="12.75" customHeight="1">
      <c r="A589" s="113" t="s">
        <v>678</v>
      </c>
      <c r="B589" s="114" t="s">
        <v>676</v>
      </c>
      <c r="C589" s="95" t="s">
        <v>11</v>
      </c>
      <c r="D589" s="135"/>
      <c r="E589" s="96"/>
      <c r="F589" s="97">
        <f>SUM(F590,F593)</f>
        <v>50401.54176</v>
      </c>
    </row>
    <row r="590" spans="1:6" s="15" customFormat="1" ht="12.75" customHeight="1">
      <c r="A590" s="105" t="s">
        <v>679</v>
      </c>
      <c r="B590" s="8" t="s">
        <v>94</v>
      </c>
      <c r="C590" s="9" t="s">
        <v>11</v>
      </c>
      <c r="D590" s="26"/>
      <c r="E590" s="27"/>
      <c r="F590" s="6">
        <f>SUM(F591:F592)</f>
        <v>36736.3923</v>
      </c>
    </row>
    <row r="591" spans="1:6" s="15" customFormat="1" ht="12.75" customHeight="1">
      <c r="A591" s="105" t="s">
        <v>680</v>
      </c>
      <c r="B591" s="8" t="s">
        <v>96</v>
      </c>
      <c r="C591" s="9" t="s">
        <v>97</v>
      </c>
      <c r="D591" s="26">
        <v>1657225</v>
      </c>
      <c r="E591" s="121">
        <v>9.24</v>
      </c>
      <c r="F591" s="6">
        <f>(D591*E591)/1000</f>
        <v>15312.759</v>
      </c>
    </row>
    <row r="592" spans="1:6" s="15" customFormat="1" ht="12.75" customHeight="1">
      <c r="A592" s="105" t="s">
        <v>681</v>
      </c>
      <c r="B592" s="8" t="s">
        <v>124</v>
      </c>
      <c r="C592" s="9" t="s">
        <v>97</v>
      </c>
      <c r="D592" s="26">
        <v>979590</v>
      </c>
      <c r="E592" s="121">
        <v>21.87</v>
      </c>
      <c r="F592" s="6">
        <f>(D592*E592)/1000</f>
        <v>21423.6333</v>
      </c>
    </row>
    <row r="593" spans="1:6" s="15" customFormat="1" ht="12.75" customHeight="1">
      <c r="A593" s="105" t="s">
        <v>711</v>
      </c>
      <c r="B593" s="28" t="s">
        <v>510</v>
      </c>
      <c r="C593" s="9" t="s">
        <v>11</v>
      </c>
      <c r="D593" s="26"/>
      <c r="E593" s="27"/>
      <c r="F593" s="6">
        <f>SUM(F594:F599)</f>
        <v>13665.149460000002</v>
      </c>
    </row>
    <row r="594" spans="1:6" s="15" customFormat="1" ht="12.75" customHeight="1">
      <c r="A594" s="105" t="s">
        <v>712</v>
      </c>
      <c r="B594" s="8" t="s">
        <v>511</v>
      </c>
      <c r="C594" s="9" t="s">
        <v>97</v>
      </c>
      <c r="D594" s="26">
        <v>34820</v>
      </c>
      <c r="E594" s="121">
        <v>14.54</v>
      </c>
      <c r="F594" s="6">
        <f aca="true" t="shared" si="6" ref="F594:F599">(D594*E594)/1000</f>
        <v>506.2828</v>
      </c>
    </row>
    <row r="595" spans="1:6" s="15" customFormat="1" ht="12.75" customHeight="1">
      <c r="A595" s="105" t="s">
        <v>713</v>
      </c>
      <c r="B595" s="8" t="s">
        <v>956</v>
      </c>
      <c r="C595" s="9" t="s">
        <v>102</v>
      </c>
      <c r="D595" s="26">
        <v>11154</v>
      </c>
      <c r="E595" s="121">
        <v>792.09</v>
      </c>
      <c r="F595" s="6">
        <f t="shared" si="6"/>
        <v>8834.971860000001</v>
      </c>
    </row>
    <row r="596" spans="1:6" s="15" customFormat="1" ht="12.75" customHeight="1">
      <c r="A596" s="105" t="s">
        <v>714</v>
      </c>
      <c r="B596" s="8" t="s">
        <v>971</v>
      </c>
      <c r="C596" s="9" t="s">
        <v>123</v>
      </c>
      <c r="D596" s="26">
        <v>21450</v>
      </c>
      <c r="E596" s="121">
        <v>63</v>
      </c>
      <c r="F596" s="6">
        <f t="shared" si="6"/>
        <v>1351.35</v>
      </c>
    </row>
    <row r="597" spans="1:6" s="15" customFormat="1" ht="12.75" customHeight="1">
      <c r="A597" s="105" t="s">
        <v>715</v>
      </c>
      <c r="B597" s="8" t="s">
        <v>507</v>
      </c>
      <c r="C597" s="9" t="s">
        <v>123</v>
      </c>
      <c r="D597" s="26">
        <v>21450</v>
      </c>
      <c r="E597" s="27">
        <v>21</v>
      </c>
      <c r="F597" s="6">
        <f t="shared" si="6"/>
        <v>450.45</v>
      </c>
    </row>
    <row r="598" spans="1:6" ht="12.75" customHeight="1">
      <c r="A598" s="105" t="s">
        <v>716</v>
      </c>
      <c r="B598" s="8" t="s">
        <v>508</v>
      </c>
      <c r="C598" s="9" t="s">
        <v>46</v>
      </c>
      <c r="D598" s="26">
        <v>11570</v>
      </c>
      <c r="E598" s="121">
        <v>201.56</v>
      </c>
      <c r="F598" s="6">
        <f t="shared" si="6"/>
        <v>2332.0492000000004</v>
      </c>
    </row>
    <row r="599" spans="1:6" ht="12.75" customHeight="1">
      <c r="A599" s="105" t="s">
        <v>947</v>
      </c>
      <c r="B599" s="8" t="s">
        <v>509</v>
      </c>
      <c r="C599" s="9" t="s">
        <v>46</v>
      </c>
      <c r="D599" s="26">
        <v>760</v>
      </c>
      <c r="E599" s="121">
        <v>250.06</v>
      </c>
      <c r="F599" s="6">
        <f t="shared" si="6"/>
        <v>190.0456</v>
      </c>
    </row>
    <row r="600" spans="1:6" s="15" customFormat="1" ht="12.75" customHeight="1">
      <c r="A600" s="113" t="s">
        <v>682</v>
      </c>
      <c r="B600" s="114" t="s">
        <v>673</v>
      </c>
      <c r="C600" s="95" t="s">
        <v>11</v>
      </c>
      <c r="D600" s="135"/>
      <c r="E600" s="27"/>
      <c r="F600" s="97">
        <f>SUM(F601,F604)</f>
        <v>22176.181394</v>
      </c>
    </row>
    <row r="601" spans="1:6" s="15" customFormat="1" ht="12.75" customHeight="1">
      <c r="A601" s="105" t="s">
        <v>683</v>
      </c>
      <c r="B601" s="8" t="s">
        <v>94</v>
      </c>
      <c r="C601" s="9" t="s">
        <v>11</v>
      </c>
      <c r="D601" s="26"/>
      <c r="E601" s="27"/>
      <c r="F601" s="6">
        <f>SUM(F602:F603)</f>
        <v>16528.79745</v>
      </c>
    </row>
    <row r="602" spans="1:6" s="15" customFormat="1" ht="12.75" customHeight="1">
      <c r="A602" s="105" t="s">
        <v>684</v>
      </c>
      <c r="B602" s="8" t="s">
        <v>96</v>
      </c>
      <c r="C602" s="9" t="s">
        <v>97</v>
      </c>
      <c r="D602" s="26">
        <v>1128435</v>
      </c>
      <c r="E602" s="121">
        <v>9.24</v>
      </c>
      <c r="F602" s="6">
        <f>(D602*E602)/1000</f>
        <v>10426.7394</v>
      </c>
    </row>
    <row r="603" spans="1:6" s="15" customFormat="1" ht="12.75" customHeight="1">
      <c r="A603" s="105" t="s">
        <v>685</v>
      </c>
      <c r="B603" s="8" t="s">
        <v>124</v>
      </c>
      <c r="C603" s="9" t="s">
        <v>97</v>
      </c>
      <c r="D603" s="26">
        <v>279015</v>
      </c>
      <c r="E603" s="121">
        <v>21.87</v>
      </c>
      <c r="F603" s="6">
        <f>(D603*E603)/1000</f>
        <v>6102.05805</v>
      </c>
    </row>
    <row r="604" spans="1:6" s="15" customFormat="1" ht="12.75" customHeight="1">
      <c r="A604" s="105" t="s">
        <v>717</v>
      </c>
      <c r="B604" s="28" t="s">
        <v>510</v>
      </c>
      <c r="C604" s="9" t="s">
        <v>11</v>
      </c>
      <c r="D604" s="26"/>
      <c r="E604" s="27"/>
      <c r="F604" s="6">
        <f>SUM(F605:F610)</f>
        <v>5647.383944</v>
      </c>
    </row>
    <row r="605" spans="1:6" s="15" customFormat="1" ht="12.75" customHeight="1">
      <c r="A605" s="105" t="s">
        <v>718</v>
      </c>
      <c r="B605" s="8" t="s">
        <v>511</v>
      </c>
      <c r="C605" s="9" t="s">
        <v>97</v>
      </c>
      <c r="D605" s="26">
        <v>58585</v>
      </c>
      <c r="E605" s="121">
        <v>14.54</v>
      </c>
      <c r="F605" s="6">
        <f aca="true" t="shared" si="7" ref="F605:F610">(D605*E605)/1000</f>
        <v>851.8258999999999</v>
      </c>
    </row>
    <row r="606" spans="1:6" s="15" customFormat="1" ht="12.75" customHeight="1">
      <c r="A606" s="105" t="s">
        <v>719</v>
      </c>
      <c r="B606" s="8" t="s">
        <v>956</v>
      </c>
      <c r="C606" s="9" t="s">
        <v>102</v>
      </c>
      <c r="D606" s="26">
        <v>4071.6</v>
      </c>
      <c r="E606" s="121">
        <v>792.09</v>
      </c>
      <c r="F606" s="6">
        <f t="shared" si="7"/>
        <v>3225.073644</v>
      </c>
    </row>
    <row r="607" spans="1:6" s="15" customFormat="1" ht="12.75" customHeight="1">
      <c r="A607" s="105" t="s">
        <v>720</v>
      </c>
      <c r="B607" s="8" t="s">
        <v>971</v>
      </c>
      <c r="C607" s="9" t="s">
        <v>123</v>
      </c>
      <c r="D607" s="26">
        <v>7830</v>
      </c>
      <c r="E607" s="121">
        <v>63</v>
      </c>
      <c r="F607" s="6">
        <f t="shared" si="7"/>
        <v>493.29</v>
      </c>
    </row>
    <row r="608" spans="1:6" s="15" customFormat="1" ht="12.75" customHeight="1">
      <c r="A608" s="105" t="s">
        <v>721</v>
      </c>
      <c r="B608" s="8" t="s">
        <v>507</v>
      </c>
      <c r="C608" s="9" t="s">
        <v>123</v>
      </c>
      <c r="D608" s="26">
        <v>7830</v>
      </c>
      <c r="E608" s="27">
        <v>21</v>
      </c>
      <c r="F608" s="6">
        <f t="shared" si="7"/>
        <v>164.43</v>
      </c>
    </row>
    <row r="609" spans="1:6" ht="12.75" customHeight="1">
      <c r="A609" s="105" t="s">
        <v>722</v>
      </c>
      <c r="B609" s="8" t="s">
        <v>508</v>
      </c>
      <c r="C609" s="9" t="s">
        <v>46</v>
      </c>
      <c r="D609" s="26">
        <v>4330</v>
      </c>
      <c r="E609" s="121">
        <v>201.56</v>
      </c>
      <c r="F609" s="6">
        <f t="shared" si="7"/>
        <v>872.7548</v>
      </c>
    </row>
    <row r="610" spans="1:6" ht="12.75" customHeight="1">
      <c r="A610" s="105" t="s">
        <v>948</v>
      </c>
      <c r="B610" s="8" t="s">
        <v>509</v>
      </c>
      <c r="C610" s="9" t="s">
        <v>46</v>
      </c>
      <c r="D610" s="26">
        <v>160</v>
      </c>
      <c r="E610" s="121">
        <v>250.06</v>
      </c>
      <c r="F610" s="6">
        <f t="shared" si="7"/>
        <v>40.0096</v>
      </c>
    </row>
    <row r="611" spans="1:6" ht="12.75" customHeight="1">
      <c r="A611" s="113" t="s">
        <v>686</v>
      </c>
      <c r="B611" s="114" t="s">
        <v>674</v>
      </c>
      <c r="C611" s="95" t="s">
        <v>11</v>
      </c>
      <c r="D611" s="135"/>
      <c r="E611" s="27"/>
      <c r="F611" s="97">
        <f>SUM(F612,F616,F623,F627,F631)</f>
        <v>353266.79448056</v>
      </c>
    </row>
    <row r="612" spans="1:6" s="15" customFormat="1" ht="12.75" customHeight="1">
      <c r="A612" s="105" t="s">
        <v>687</v>
      </c>
      <c r="B612" s="8" t="s">
        <v>94</v>
      </c>
      <c r="C612" s="9" t="s">
        <v>11</v>
      </c>
      <c r="D612" s="26"/>
      <c r="E612" s="27"/>
      <c r="F612" s="6">
        <f>SUM(F613:F615)</f>
        <v>39042.13455</v>
      </c>
    </row>
    <row r="613" spans="1:6" s="15" customFormat="1" ht="12.75" customHeight="1">
      <c r="A613" s="105" t="s">
        <v>688</v>
      </c>
      <c r="B613" s="8" t="s">
        <v>96</v>
      </c>
      <c r="C613" s="9" t="s">
        <v>97</v>
      </c>
      <c r="D613" s="26">
        <v>393675</v>
      </c>
      <c r="E613" s="121">
        <v>9.24</v>
      </c>
      <c r="F613" s="6">
        <f>(D613*E613)/1000</f>
        <v>3637.557</v>
      </c>
    </row>
    <row r="614" spans="1:6" s="15" customFormat="1" ht="12.75" customHeight="1">
      <c r="A614" s="105" t="s">
        <v>689</v>
      </c>
      <c r="B614" s="8" t="s">
        <v>124</v>
      </c>
      <c r="C614" s="9" t="s">
        <v>97</v>
      </c>
      <c r="D614" s="26">
        <v>1071065</v>
      </c>
      <c r="E614" s="121">
        <v>21.87</v>
      </c>
      <c r="F614" s="6">
        <f>(D614*E614)/1000</f>
        <v>23424.19155</v>
      </c>
    </row>
    <row r="615" spans="1:6" s="15" customFormat="1" ht="12.75" customHeight="1">
      <c r="A615" s="105" t="s">
        <v>690</v>
      </c>
      <c r="B615" s="8" t="s">
        <v>664</v>
      </c>
      <c r="C615" s="9" t="s">
        <v>97</v>
      </c>
      <c r="D615" s="26">
        <v>547800</v>
      </c>
      <c r="E615" s="121">
        <v>21.87</v>
      </c>
      <c r="F615" s="6">
        <f>(D615*E615)/1000</f>
        <v>11980.386</v>
      </c>
    </row>
    <row r="616" spans="1:6" s="15" customFormat="1" ht="12.75" customHeight="1">
      <c r="A616" s="105" t="s">
        <v>691</v>
      </c>
      <c r="B616" s="28" t="s">
        <v>510</v>
      </c>
      <c r="C616" s="9" t="s">
        <v>11</v>
      </c>
      <c r="D616" s="26"/>
      <c r="E616" s="27"/>
      <c r="F616" s="6">
        <f>SUM(F617:F622)</f>
        <v>17834.369452</v>
      </c>
    </row>
    <row r="617" spans="1:6" s="15" customFormat="1" ht="12.75" customHeight="1">
      <c r="A617" s="105" t="s">
        <v>723</v>
      </c>
      <c r="B617" s="8" t="s">
        <v>511</v>
      </c>
      <c r="C617" s="9" t="s">
        <v>97</v>
      </c>
      <c r="D617" s="26"/>
      <c r="E617" s="27"/>
      <c r="F617" s="6">
        <f aca="true" t="shared" si="8" ref="F617:F622">(D617*E617)/1000</f>
        <v>0</v>
      </c>
    </row>
    <row r="618" spans="1:6" ht="12.75" customHeight="1">
      <c r="A618" s="105" t="s">
        <v>724</v>
      </c>
      <c r="B618" s="8" t="s">
        <v>942</v>
      </c>
      <c r="C618" s="9" t="s">
        <v>102</v>
      </c>
      <c r="D618" s="26">
        <v>15802.8</v>
      </c>
      <c r="E618" s="121">
        <v>792.09</v>
      </c>
      <c r="F618" s="6">
        <f t="shared" si="8"/>
        <v>12517.239852</v>
      </c>
    </row>
    <row r="619" spans="1:6" ht="12.75" customHeight="1">
      <c r="A619" s="105" t="s">
        <v>725</v>
      </c>
      <c r="B619" s="8" t="s">
        <v>971</v>
      </c>
      <c r="C619" s="9" t="s">
        <v>123</v>
      </c>
      <c r="D619" s="26">
        <v>30390</v>
      </c>
      <c r="E619" s="121">
        <v>63</v>
      </c>
      <c r="F619" s="6">
        <f>(D619*E619)/1000</f>
        <v>1914.57</v>
      </c>
    </row>
    <row r="620" spans="1:6" ht="12.75" customHeight="1">
      <c r="A620" s="105" t="s">
        <v>726</v>
      </c>
      <c r="B620" s="8" t="s">
        <v>507</v>
      </c>
      <c r="C620" s="9" t="s">
        <v>123</v>
      </c>
      <c r="D620" s="26">
        <v>20390</v>
      </c>
      <c r="E620" s="27">
        <v>21</v>
      </c>
      <c r="F620" s="6">
        <f>(D620*E620)/1000</f>
        <v>428.19</v>
      </c>
    </row>
    <row r="621" spans="1:6" ht="12.75" customHeight="1">
      <c r="A621" s="105" t="s">
        <v>727</v>
      </c>
      <c r="B621" s="8" t="s">
        <v>508</v>
      </c>
      <c r="C621" s="9" t="s">
        <v>46</v>
      </c>
      <c r="D621" s="26">
        <v>11680</v>
      </c>
      <c r="E621" s="121">
        <v>201.56</v>
      </c>
      <c r="F621" s="6">
        <f t="shared" si="8"/>
        <v>2354.2207999999996</v>
      </c>
    </row>
    <row r="622" spans="1:6" ht="12.75" customHeight="1">
      <c r="A622" s="105" t="s">
        <v>949</v>
      </c>
      <c r="B622" s="8" t="s">
        <v>509</v>
      </c>
      <c r="C622" s="9" t="s">
        <v>46</v>
      </c>
      <c r="D622" s="26">
        <v>2480</v>
      </c>
      <c r="E622" s="121">
        <v>250.06</v>
      </c>
      <c r="F622" s="6">
        <f t="shared" si="8"/>
        <v>620.1488</v>
      </c>
    </row>
    <row r="623" spans="1:6" ht="12.75" customHeight="1">
      <c r="A623" s="105" t="s">
        <v>692</v>
      </c>
      <c r="B623" s="8" t="s">
        <v>982</v>
      </c>
      <c r="C623" s="9" t="s">
        <v>239</v>
      </c>
      <c r="D623" s="26"/>
      <c r="E623" s="120"/>
      <c r="F623" s="6">
        <f>SUM(F624:F626)</f>
        <v>3450.982885</v>
      </c>
    </row>
    <row r="624" spans="1:6" ht="12.75" customHeight="1">
      <c r="A624" s="105" t="s">
        <v>983</v>
      </c>
      <c r="B624" s="8" t="s">
        <v>986</v>
      </c>
      <c r="C624" s="9" t="s">
        <v>981</v>
      </c>
      <c r="D624" s="26">
        <v>13900</v>
      </c>
      <c r="E624" s="121">
        <v>46.71</v>
      </c>
      <c r="F624" s="6">
        <f>(D624*E624)/1000</f>
        <v>649.269</v>
      </c>
    </row>
    <row r="625" spans="1:6" ht="12.75" customHeight="1">
      <c r="A625" s="105" t="s">
        <v>984</v>
      </c>
      <c r="B625" s="8" t="s">
        <v>987</v>
      </c>
      <c r="C625" s="9" t="s">
        <v>981</v>
      </c>
      <c r="D625" s="26">
        <v>1876.5</v>
      </c>
      <c r="E625" s="121">
        <v>792.09</v>
      </c>
      <c r="F625" s="6">
        <f>(D625*E625)/1000</f>
        <v>1486.356885</v>
      </c>
    </row>
    <row r="626" spans="1:6" ht="12.75" customHeight="1">
      <c r="A626" s="105" t="s">
        <v>985</v>
      </c>
      <c r="B626" s="8" t="s">
        <v>988</v>
      </c>
      <c r="C626" s="9"/>
      <c r="D626" s="26">
        <v>6950</v>
      </c>
      <c r="E626" s="121">
        <v>189.26</v>
      </c>
      <c r="F626" s="6">
        <f>(D626*E626)/1000</f>
        <v>1315.357</v>
      </c>
    </row>
    <row r="627" spans="1:6" ht="12.75" customHeight="1">
      <c r="A627" s="105" t="s">
        <v>693</v>
      </c>
      <c r="B627" s="8" t="s">
        <v>101</v>
      </c>
      <c r="C627" s="9" t="s">
        <v>11</v>
      </c>
      <c r="D627" s="26"/>
      <c r="E627" s="27"/>
      <c r="F627" s="6">
        <f>SUM(F628:F630)</f>
        <v>292153.66450356</v>
      </c>
    </row>
    <row r="628" spans="1:6" ht="12.75" customHeight="1">
      <c r="A628" s="105" t="s">
        <v>695</v>
      </c>
      <c r="B628" s="8" t="s">
        <v>942</v>
      </c>
      <c r="C628" s="9" t="s">
        <v>102</v>
      </c>
      <c r="D628" s="124">
        <v>83439.6</v>
      </c>
      <c r="E628" s="121">
        <v>792.09</v>
      </c>
      <c r="F628" s="6">
        <f>(D628*E628)/1000</f>
        <v>66091.672764</v>
      </c>
    </row>
    <row r="629" spans="1:6" ht="12.75" customHeight="1">
      <c r="A629" s="105" t="s">
        <v>696</v>
      </c>
      <c r="B629" s="8" t="s">
        <v>103</v>
      </c>
      <c r="C629" s="9" t="s">
        <v>97</v>
      </c>
      <c r="D629" s="26">
        <v>309035.57</v>
      </c>
      <c r="E629" s="121">
        <v>258.27</v>
      </c>
      <c r="F629" s="6">
        <f>(D629*E629)/1000</f>
        <v>79814.6166639</v>
      </c>
    </row>
    <row r="630" spans="1:6" ht="12.75" customHeight="1">
      <c r="A630" s="105" t="s">
        <v>697</v>
      </c>
      <c r="B630" s="8" t="s">
        <v>104</v>
      </c>
      <c r="C630" s="9" t="s">
        <v>102</v>
      </c>
      <c r="D630" s="26">
        <f>0.06*D629</f>
        <v>18542.1342</v>
      </c>
      <c r="E630" s="121">
        <v>7887.3</v>
      </c>
      <c r="F630" s="6">
        <f>(D630*E630)/1000</f>
        <v>146247.37507566</v>
      </c>
    </row>
    <row r="631" spans="1:6" ht="12.75" customHeight="1">
      <c r="A631" s="105" t="s">
        <v>694</v>
      </c>
      <c r="B631" s="8" t="s">
        <v>289</v>
      </c>
      <c r="C631" s="102" t="s">
        <v>97</v>
      </c>
      <c r="D631" s="26">
        <v>79923</v>
      </c>
      <c r="E631" s="121">
        <v>9.83</v>
      </c>
      <c r="F631" s="6">
        <f>(D631*E631)/1000</f>
        <v>785.6430899999999</v>
      </c>
    </row>
    <row r="632" spans="1:6" ht="12.75" customHeight="1">
      <c r="A632" s="113" t="s">
        <v>698</v>
      </c>
      <c r="B632" s="60" t="s">
        <v>665</v>
      </c>
      <c r="C632" s="9" t="s">
        <v>11</v>
      </c>
      <c r="D632" s="26"/>
      <c r="E632" s="27"/>
      <c r="F632" s="136">
        <f>F633</f>
        <v>54378.814</v>
      </c>
    </row>
    <row r="633" spans="1:6" ht="12.75" customHeight="1">
      <c r="A633" s="105" t="s">
        <v>700</v>
      </c>
      <c r="B633" s="8" t="s">
        <v>666</v>
      </c>
      <c r="C633" s="9" t="s">
        <v>11</v>
      </c>
      <c r="D633" s="26"/>
      <c r="E633" s="27"/>
      <c r="F633" s="103">
        <f>SUM(F634:F645)</f>
        <v>54378.814</v>
      </c>
    </row>
    <row r="634" spans="1:6" ht="12.75" customHeight="1">
      <c r="A634" s="105" t="s">
        <v>701</v>
      </c>
      <c r="B634" s="8" t="s">
        <v>667</v>
      </c>
      <c r="C634" s="9" t="s">
        <v>668</v>
      </c>
      <c r="D634" s="26">
        <v>4</v>
      </c>
      <c r="E634" s="27">
        <v>68000</v>
      </c>
      <c r="F634" s="103">
        <f aca="true" t="shared" si="9" ref="F634:F643">D634*E634/1000</f>
        <v>272</v>
      </c>
    </row>
    <row r="635" spans="1:6" ht="12.75" customHeight="1">
      <c r="A635" s="105" t="s">
        <v>702</v>
      </c>
      <c r="B635" s="8" t="s">
        <v>896</v>
      </c>
      <c r="C635" s="9" t="s">
        <v>668</v>
      </c>
      <c r="D635" s="26">
        <v>8</v>
      </c>
      <c r="E635" s="27">
        <v>140000</v>
      </c>
      <c r="F635" s="103">
        <f t="shared" si="9"/>
        <v>1120</v>
      </c>
    </row>
    <row r="636" spans="1:6" ht="12.75" customHeight="1">
      <c r="A636" s="105" t="s">
        <v>703</v>
      </c>
      <c r="B636" s="8" t="s">
        <v>895</v>
      </c>
      <c r="C636" s="9" t="s">
        <v>668</v>
      </c>
      <c r="D636" s="26">
        <v>8</v>
      </c>
      <c r="E636" s="27">
        <v>40000</v>
      </c>
      <c r="F636" s="103">
        <f t="shared" si="9"/>
        <v>320</v>
      </c>
    </row>
    <row r="637" spans="1:6" ht="12.75" customHeight="1">
      <c r="A637" s="105" t="s">
        <v>704</v>
      </c>
      <c r="B637" s="8" t="s">
        <v>914</v>
      </c>
      <c r="C637" s="9" t="s">
        <v>668</v>
      </c>
      <c r="D637" s="26">
        <v>2</v>
      </c>
      <c r="E637" s="27">
        <v>225000</v>
      </c>
      <c r="F637" s="103">
        <f t="shared" si="9"/>
        <v>450</v>
      </c>
    </row>
    <row r="638" spans="1:6" ht="12.75" customHeight="1">
      <c r="A638" s="105" t="s">
        <v>705</v>
      </c>
      <c r="B638" s="8" t="s">
        <v>915</v>
      </c>
      <c r="C638" s="9" t="s">
        <v>668</v>
      </c>
      <c r="D638" s="26">
        <v>2</v>
      </c>
      <c r="E638" s="27">
        <v>225000</v>
      </c>
      <c r="F638" s="103">
        <f t="shared" si="9"/>
        <v>450</v>
      </c>
    </row>
    <row r="639" spans="1:6" ht="12.75" customHeight="1">
      <c r="A639" s="105" t="s">
        <v>706</v>
      </c>
      <c r="B639" s="8" t="s">
        <v>669</v>
      </c>
      <c r="C639" s="9" t="s">
        <v>668</v>
      </c>
      <c r="D639" s="26">
        <v>1</v>
      </c>
      <c r="E639" s="27">
        <v>6250000</v>
      </c>
      <c r="F639" s="103">
        <f t="shared" si="9"/>
        <v>6250</v>
      </c>
    </row>
    <row r="640" spans="1:6" ht="12.75" customHeight="1">
      <c r="A640" s="105" t="s">
        <v>707</v>
      </c>
      <c r="B640" s="8" t="s">
        <v>670</v>
      </c>
      <c r="C640" s="9" t="s">
        <v>668</v>
      </c>
      <c r="D640" s="26">
        <v>1</v>
      </c>
      <c r="E640" s="27">
        <v>16600000</v>
      </c>
      <c r="F640" s="103">
        <f t="shared" si="9"/>
        <v>16600</v>
      </c>
    </row>
    <row r="641" spans="1:6" ht="12.75" customHeight="1">
      <c r="A641" s="105" t="s">
        <v>708</v>
      </c>
      <c r="B641" s="8" t="s">
        <v>671</v>
      </c>
      <c r="C641" s="9" t="s">
        <v>668</v>
      </c>
      <c r="D641" s="26">
        <v>2</v>
      </c>
      <c r="E641" s="27">
        <v>3435000</v>
      </c>
      <c r="F641" s="103">
        <f t="shared" si="9"/>
        <v>6870</v>
      </c>
    </row>
    <row r="642" spans="1:6" ht="12.75" customHeight="1">
      <c r="A642" s="105" t="s">
        <v>709</v>
      </c>
      <c r="B642" s="8" t="s">
        <v>892</v>
      </c>
      <c r="C642" s="9" t="s">
        <v>668</v>
      </c>
      <c r="D642" s="26">
        <v>4</v>
      </c>
      <c r="E642" s="27">
        <v>300000</v>
      </c>
      <c r="F642" s="103">
        <f t="shared" si="9"/>
        <v>1200</v>
      </c>
    </row>
    <row r="643" spans="1:6" ht="12.75" customHeight="1">
      <c r="A643" s="105" t="s">
        <v>710</v>
      </c>
      <c r="B643" s="8" t="s">
        <v>672</v>
      </c>
      <c r="C643" s="9" t="s">
        <v>668</v>
      </c>
      <c r="D643" s="26">
        <v>2</v>
      </c>
      <c r="E643" s="27">
        <v>169470</v>
      </c>
      <c r="F643" s="103">
        <f t="shared" si="9"/>
        <v>338.94</v>
      </c>
    </row>
    <row r="644" spans="1:6" ht="12.75" customHeight="1">
      <c r="A644" s="105" t="s">
        <v>886</v>
      </c>
      <c r="B644" s="8" t="s">
        <v>894</v>
      </c>
      <c r="C644" s="9" t="s">
        <v>668</v>
      </c>
      <c r="D644" s="26"/>
      <c r="E644" s="27"/>
      <c r="F644" s="103">
        <f>SUM(F634:F643)*0.1</f>
        <v>3387.0940000000005</v>
      </c>
    </row>
    <row r="645" spans="1:6" ht="12.75" customHeight="1">
      <c r="A645" s="105" t="s">
        <v>893</v>
      </c>
      <c r="B645" s="8" t="s">
        <v>887</v>
      </c>
      <c r="C645" s="9" t="s">
        <v>11</v>
      </c>
      <c r="D645" s="26"/>
      <c r="E645" s="27"/>
      <c r="F645" s="103">
        <v>17120.78</v>
      </c>
    </row>
    <row r="646" spans="1:6" ht="12.75" customHeight="1">
      <c r="A646" s="106"/>
      <c r="B646" s="8"/>
      <c r="C646" s="9"/>
      <c r="D646" s="26"/>
      <c r="E646" s="27"/>
      <c r="F646" s="6"/>
    </row>
    <row r="647" spans="1:6" ht="12.75" customHeight="1">
      <c r="A647" s="106"/>
      <c r="B647" s="8" t="s">
        <v>156</v>
      </c>
      <c r="C647" s="9" t="s">
        <v>11</v>
      </c>
      <c r="D647" s="26"/>
      <c r="E647" s="27"/>
      <c r="F647" s="6">
        <f>SUM(F589,F600,F611)</f>
        <v>425844.51763456</v>
      </c>
    </row>
    <row r="648" spans="1:6" ht="12.75" customHeight="1">
      <c r="A648" s="106"/>
      <c r="B648" s="8" t="s">
        <v>158</v>
      </c>
      <c r="C648" s="9" t="s">
        <v>11</v>
      </c>
      <c r="D648" s="26"/>
      <c r="E648" s="27"/>
      <c r="F648" s="6">
        <f>F632</f>
        <v>54378.814</v>
      </c>
    </row>
    <row r="649" spans="1:6" ht="11.25">
      <c r="A649" s="106"/>
      <c r="B649" s="8"/>
      <c r="C649" s="9"/>
      <c r="D649" s="26"/>
      <c r="E649" s="27"/>
      <c r="F649" s="6"/>
    </row>
    <row r="650" spans="1:6" ht="11.25">
      <c r="A650" s="113" t="s">
        <v>699</v>
      </c>
      <c r="B650" s="60" t="s">
        <v>918</v>
      </c>
      <c r="C650" s="5" t="s">
        <v>87</v>
      </c>
      <c r="D650" s="26">
        <v>10</v>
      </c>
      <c r="E650" s="27"/>
      <c r="F650" s="6">
        <f>F647*D650/100</f>
        <v>42584.451763455996</v>
      </c>
    </row>
    <row r="651" spans="1:6" ht="12" thickBot="1">
      <c r="A651" s="113" t="s">
        <v>916</v>
      </c>
      <c r="B651" s="104" t="s">
        <v>917</v>
      </c>
      <c r="C651" s="137" t="s">
        <v>87</v>
      </c>
      <c r="D651" s="143">
        <v>10</v>
      </c>
      <c r="E651" s="138"/>
      <c r="F651" s="139">
        <f>F648*D651/100</f>
        <v>5437.8814</v>
      </c>
    </row>
    <row r="652" spans="1:6" ht="12" thickTop="1">
      <c r="A652" s="77"/>
      <c r="B652" s="77"/>
      <c r="C652" s="78"/>
      <c r="D652" s="79"/>
      <c r="E652" s="80"/>
      <c r="F652" s="74"/>
    </row>
    <row r="656" ht="12.75">
      <c r="B656" s="54" t="s">
        <v>962</v>
      </c>
    </row>
    <row r="657" ht="12.75">
      <c r="B657" s="54" t="s">
        <v>963</v>
      </c>
    </row>
    <row r="658" ht="12.75">
      <c r="B658" s="54" t="s">
        <v>964</v>
      </c>
    </row>
    <row r="659" ht="12.75">
      <c r="B659" s="54" t="s">
        <v>965</v>
      </c>
    </row>
  </sheetData>
  <autoFilter ref="A13:F580"/>
  <mergeCells count="3">
    <mergeCell ref="A1:F1"/>
    <mergeCell ref="A3:F3"/>
    <mergeCell ref="A2:F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7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Captain Hook</dc:creator>
  <cp:keywords/>
  <dc:description/>
  <cp:lastModifiedBy>Renata</cp:lastModifiedBy>
  <cp:lastPrinted>2004-11-25T11:54:34Z</cp:lastPrinted>
  <dcterms:created xsi:type="dcterms:W3CDTF">1997-12-10T11:43:08Z</dcterms:created>
  <dcterms:modified xsi:type="dcterms:W3CDTF">2004-11-25T11:55:02Z</dcterms:modified>
  <cp:category/>
  <cp:version/>
  <cp:contentType/>
  <cp:contentStatus/>
</cp:coreProperties>
</file>